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9" activeTab="0"/>
  </bookViews>
  <sheets>
    <sheet name="MRD" sheetId="1" r:id="rId1"/>
    <sheet name="savings rate" sheetId="2" r:id="rId2"/>
  </sheets>
  <definedNames/>
  <calcPr fullCalcOnLoad="1"/>
</workbook>
</file>

<file path=xl/sharedStrings.xml><?xml version="1.0" encoding="utf-8"?>
<sst xmlns="http://schemas.openxmlformats.org/spreadsheetml/2006/main" count="119" uniqueCount="117">
  <si>
    <t>Retirement Investment and cash flow planner</t>
  </si>
  <si>
    <t>Ver 7</t>
  </si>
  <si>
    <t>Sept. 2016</t>
  </si>
  <si>
    <t>This is a basic planning tool.  It doesn’t distinguish between growth stocks, income stocks, bonds, business with tax consequences, Roth IRAs,  etc.</t>
  </si>
  <si>
    <t>You can change the numbers anywhere down the line if your situation changes</t>
  </si>
  <si>
    <t>Investment Growth rate</t>
  </si>
  <si>
    <t>Inflation Rate</t>
  </si>
  <si>
    <t>Growth Rate</t>
  </si>
  <si>
    <t>Notes</t>
  </si>
  <si>
    <t>Age</t>
  </si>
  <si>
    <t>Life Expect-ancy</t>
  </si>
  <si>
    <t>Distr. period</t>
  </si>
  <si>
    <t>%</t>
  </si>
  <si>
    <t>IRA Value</t>
  </si>
  <si>
    <t>RMD  Amount</t>
  </si>
  <si>
    <t>Other Invest-ments</t>
  </si>
  <si>
    <t>Other Income with COL</t>
  </si>
  <si>
    <t>Fixed Income</t>
  </si>
  <si>
    <t>Expenses w/ Inflation</t>
  </si>
  <si>
    <t>Estimated Tax</t>
  </si>
  <si>
    <t>Extra needed</t>
  </si>
  <si>
    <t>Invest-ment widhdrawl</t>
  </si>
  <si>
    <t>IRA Distrib-ution</t>
  </si>
  <si>
    <t>Excess</t>
  </si>
  <si>
    <t>82.8, 85.3</t>
  </si>
  <si>
    <t>83.0, 85.5</t>
  </si>
  <si>
    <t>83.3, 85.7</t>
  </si>
  <si>
    <t>83.6, 86.0</t>
  </si>
  <si>
    <t>83.9, 86.2</t>
  </si>
  <si>
    <t>84.2, 86.4</t>
  </si>
  <si>
    <t>84.6, 86.7</t>
  </si>
  <si>
    <t>IF T</t>
  </si>
  <si>
    <t>84.9, 87.0</t>
  </si>
  <si>
    <t>85.3, 87.2</t>
  </si>
  <si>
    <t>85.7, 87.5</t>
  </si>
  <si>
    <t>86.0, 87.8</t>
  </si>
  <si>
    <t>86.4, 88.2</t>
  </si>
  <si>
    <t>86.9, 88.5</t>
  </si>
  <si>
    <t>87.3, 88.9</t>
  </si>
  <si>
    <t>87.7, 89.2</t>
  </si>
  <si>
    <t>88.2, 89.6</t>
  </si>
  <si>
    <t>88.7, 90.1</t>
  </si>
  <si>
    <t>89.2, 90.5</t>
  </si>
  <si>
    <t>89.7, 90.9</t>
  </si>
  <si>
    <t>90.3, 91.4</t>
  </si>
  <si>
    <t>90.8, 91.9</t>
  </si>
  <si>
    <t>91.4, 92.4</t>
  </si>
  <si>
    <t>92.0, 93.0</t>
  </si>
  <si>
    <t>92.7, 93.6</t>
  </si>
  <si>
    <t>93.3, 94.2</t>
  </si>
  <si>
    <t>94.0, 94.8</t>
  </si>
  <si>
    <t>94.7, 95.5</t>
  </si>
  <si>
    <t>95.5, 96.1</t>
  </si>
  <si>
    <t>96.2, 96.8</t>
  </si>
  <si>
    <t>97.0, 97.6</t>
  </si>
  <si>
    <t>97.8, 98.3</t>
  </si>
  <si>
    <t>98.6, 99.1</t>
  </si>
  <si>
    <t>99.5, 99.9</t>
  </si>
  <si>
    <t>100.4, 100.8</t>
  </si>
  <si>
    <t>101.2, 101.6</t>
  </si>
  <si>
    <t>102.1, 102.5</t>
  </si>
  <si>
    <t>103.0, 103.3</t>
  </si>
  <si>
    <t>103.9, 104.2</t>
  </si>
  <si>
    <t>104.8, 105.0</t>
  </si>
  <si>
    <t>105.7, 105.9</t>
  </si>
  <si>
    <t>106.6, 106.8</t>
  </si>
  <si>
    <t>107.5, 107.7</t>
  </si>
  <si>
    <t>108.4, 108.6</t>
  </si>
  <si>
    <t>109.3, 109.5</t>
  </si>
  <si>
    <t>How it works:</t>
  </si>
  <si>
    <t>It looks at the shortfall of expenses + taxes vs income (9 + 10 -[5 + 7 + 8 ] ). It takes money out of other investments first then your IRA to make it up.</t>
  </si>
  <si>
    <t>If there is a required minimum distribution (RMD) it takes that  before other investments</t>
  </si>
  <si>
    <t>Actuarial Life Tables -  [men], [women]</t>
  </si>
  <si>
    <t>https://www.ssa.gov/oact/STATS/table4c6.html</t>
  </si>
  <si>
    <t>http://donsnotes.com/health/longevity.html</t>
  </si>
  <si>
    <t>https://www.myabaris.com/tools/life-expectancy-calculator-how-long-will-i-live/</t>
  </si>
  <si>
    <t>Abaris – An annuity company</t>
  </si>
  <si>
    <t>http://media.nmfn.com/tnetwork/lifespan/#0</t>
  </si>
  <si>
    <t>Northwestern Mutual Insurance</t>
  </si>
  <si>
    <t>(includes ethnicity, diet)</t>
  </si>
  <si>
    <t>The IRS requires you to take a required minimum distribution (RMD) from a standard IRA based on your age</t>
  </si>
  <si>
    <t xml:space="preserve">The IRS distribution period is longer than the life expectancy in 1 because </t>
  </si>
  <si>
    <t>They use the joint life expectancy of couples in which the spouse is 10 years younger than the account holder.</t>
  </si>
  <si>
    <t>You must take out your RMD by Dec. 31 based on the value on Dec. 31 the previous year.</t>
  </si>
  <si>
    <t>https://www.irs.gov/pub/irs-tege/uniform_rmd_wksht.pdf</t>
  </si>
  <si>
    <t>1 divided by the distribution period i.e. the percent you need from your IRA for your RMD</t>
  </si>
  <si>
    <t xml:space="preserve"> Required Minimum Distribution (RMD).  This does not apply to Roth IRAs</t>
  </si>
  <si>
    <t>Liquid assets (Stocks, Bonds, ) Note: If you have bonds that you don’t want to cash I</t>
  </si>
  <si>
    <t>Other Income e.g.Social Security, Investments</t>
  </si>
  <si>
    <t>Fixed Income (e.g. pension not tied to cost of living)</t>
  </si>
  <si>
    <t>Expenses are assumed to grow with the the Cost of Living (COL) (Inflation)</t>
  </si>
  <si>
    <t>http://donsnotes.com/financial/household_spending.html#location</t>
  </si>
  <si>
    <t>Tax – To be added</t>
  </si>
  <si>
    <t xml:space="preserve">Withdrawl from liquid assets.  Assumes you will take money from here  </t>
  </si>
  <si>
    <t>Distribution = max of inflation adjusted expenses less other income or RMD.</t>
  </si>
  <si>
    <t xml:space="preserve">RMD is greater than the expenses less other income needed to keep up with inflation. </t>
  </si>
  <si>
    <t>How long to double</t>
  </si>
  <si>
    <t>Rate</t>
  </si>
  <si>
    <t>Years</t>
  </si>
  <si>
    <t>.</t>
  </si>
  <si>
    <t>Table from  page 70 “Yes, You Can Still Retire Comfortably!”, 2006 Ben Stein and Phil DeMuth</t>
  </si>
  <si>
    <t>http://www.stein-demuth.com/images/Tables%203.3-3.6%20Revised.xls</t>
  </si>
  <si>
    <t>Added by me</t>
  </si>
  <si>
    <t>Growth rate</t>
  </si>
  <si>
    <t>Table 3.5: Are Your Retirement Savings on Track?</t>
  </si>
  <si>
    <t>Conservative Assumptions</t>
  </si>
  <si>
    <t>Saving rate</t>
  </si>
  <si>
    <t>Multiple of Current Salary You Should Have in Savings</t>
  </si>
  <si>
    <t>Needed per</t>
  </si>
  <si>
    <t>Retirement Savings</t>
  </si>
  <si>
    <t>Salary *</t>
  </si>
  <si>
    <t>Stein</t>
  </si>
  <si>
    <t>Amount in portfolio</t>
  </si>
  <si>
    <t>Assumes no social security or pension</t>
  </si>
  <si>
    <t>* salary based  on median in the chart at donsnotes.com/financial/budget.html</t>
  </si>
  <si>
    <t>men</t>
  </si>
  <si>
    <t>women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</si>
</sst>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MM/DD/YY"/>
    <numFmt numFmtId="166" formatCode="[$$-409]#,##0;\-[$$-409]#,##0"/>
    <numFmt numFmtId="167" formatCode="@"/>
    <numFmt numFmtId="168" formatCode="[$$-409]#,##0;[RED]\-[$$-409]#,##0"/>
    <numFmt numFmtId="169" formatCode="0.0%"/>
    <numFmt numFmtId="170" formatCode="0%"/>
    <numFmt numFmtId="171" formatCode="#"/>
    <numFmt numFmtId="172" formatCode="0.00%"/>
    <numFmt numFmtId="173" formatCode="0.0"/>
    <numFmt numFmtId="174" formatCode="0"/>
    <numFmt numFmtId="175" formatCode="[$$-409]#,##0.00;[RED]\-[$$-409]#,##0.00"/>
    <numFmt numFmtId="176" formatCode="_(\$* #,##0.00_);_(\$* \(#,##0.00\);_(\$* \-??_);_(@_)"/>
  </numFmts>
  <fonts count="7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6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9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4" fontId="1" fillId="0" borderId="0" xfId="0" applyFont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2" fillId="0" borderId="1" xfId="0" applyNumberFormat="1" applyFont="1" applyBorder="1" applyAlignment="1">
      <alignment/>
    </xf>
    <xf numFmtId="169" fontId="2" fillId="0" borderId="0" xfId="0" applyNumberFormat="1" applyFont="1" applyAlignment="1">
      <alignment/>
    </xf>
    <xf numFmtId="169" fontId="2" fillId="0" borderId="2" xfId="0" applyNumberFormat="1" applyFont="1" applyBorder="1" applyAlignment="1">
      <alignment/>
    </xf>
    <xf numFmtId="170" fontId="2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67" fontId="0" fillId="0" borderId="0" xfId="0" applyNumberFormat="1" applyFont="1" applyAlignment="1">
      <alignment wrapText="1"/>
    </xf>
    <xf numFmtId="169" fontId="0" fillId="0" borderId="0" xfId="0" applyNumberFormat="1" applyFont="1" applyAlignment="1">
      <alignment wrapText="1"/>
    </xf>
    <xf numFmtId="164" fontId="0" fillId="0" borderId="0" xfId="0" applyFont="1" applyAlignment="1">
      <alignment wrapText="1"/>
    </xf>
    <xf numFmtId="166" fontId="0" fillId="0" borderId="0" xfId="0" applyNumberFormat="1" applyFont="1" applyAlignment="1">
      <alignment wrapText="1"/>
    </xf>
    <xf numFmtId="167" fontId="3" fillId="0" borderId="0" xfId="0" applyNumberFormat="1" applyFont="1" applyAlignment="1">
      <alignment wrapText="1"/>
    </xf>
    <xf numFmtId="172" fontId="0" fillId="0" borderId="0" xfId="0" applyNumberFormat="1" applyAlignment="1">
      <alignment/>
    </xf>
    <xf numFmtId="168" fontId="2" fillId="0" borderId="1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0" borderId="3" xfId="0" applyNumberFormat="1" applyFont="1" applyBorder="1" applyAlignment="1">
      <alignment/>
    </xf>
    <xf numFmtId="168" fontId="4" fillId="0" borderId="3" xfId="0" applyNumberFormat="1" applyFont="1" applyBorder="1" applyAlignment="1">
      <alignment/>
    </xf>
    <xf numFmtId="164" fontId="0" fillId="0" borderId="0" xfId="0" applyFont="1" applyAlignment="1">
      <alignment horizontal="left"/>
    </xf>
    <xf numFmtId="173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2" fillId="0" borderId="0" xfId="0" applyFont="1" applyAlignment="1">
      <alignment/>
    </xf>
    <xf numFmtId="164" fontId="4" fillId="0" borderId="3" xfId="0" applyNumberFormat="1" applyFont="1" applyBorder="1" applyAlignment="1">
      <alignment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6" fillId="0" borderId="0" xfId="0" applyFont="1" applyAlignment="1">
      <alignment/>
    </xf>
    <xf numFmtId="174" fontId="0" fillId="0" borderId="0" xfId="0" applyNumberFormat="1" applyAlignment="1">
      <alignment/>
    </xf>
    <xf numFmtId="175" fontId="0" fillId="0" borderId="0" xfId="0" applyNumberFormat="1" applyAlignment="1">
      <alignment/>
    </xf>
    <xf numFmtId="164" fontId="6" fillId="0" borderId="4" xfId="0" applyFont="1" applyFill="1" applyBorder="1" applyAlignment="1">
      <alignment horizontal="center"/>
    </xf>
    <xf numFmtId="164" fontId="6" fillId="0" borderId="0" xfId="0" applyFont="1" applyFill="1" applyBorder="1" applyAlignment="1">
      <alignment horizontal="center"/>
    </xf>
    <xf numFmtId="164" fontId="6" fillId="0" borderId="5" xfId="0" applyFon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173" fontId="0" fillId="0" borderId="0" xfId="0" applyNumberFormat="1" applyFill="1" applyBorder="1" applyAlignment="1">
      <alignment horizontal="center"/>
    </xf>
    <xf numFmtId="174" fontId="0" fillId="0" borderId="0" xfId="17" applyNumberFormat="1" applyFont="1" applyFill="1" applyBorder="1" applyAlignment="1" applyProtection="1">
      <alignment horizontal="center"/>
      <protection/>
    </xf>
    <xf numFmtId="173" fontId="0" fillId="0" borderId="0" xfId="17" applyNumberFormat="1" applyFont="1" applyFill="1" applyBorder="1" applyAlignment="1" applyProtection="1">
      <alignment horizontal="center"/>
      <protection/>
    </xf>
    <xf numFmtId="174" fontId="0" fillId="0" borderId="6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workbookViewId="0" topLeftCell="A3">
      <selection activeCell="L3" sqref="L3"/>
    </sheetView>
  </sheetViews>
  <sheetFormatPr defaultColWidth="11.421875" defaultRowHeight="12.75" customHeight="1"/>
  <cols>
    <col min="1" max="1" width="5.7109375" style="0" customWidth="1"/>
    <col min="2" max="2" width="11.00390625" style="0" customWidth="1"/>
    <col min="3" max="3" width="5.8515625" style="0" customWidth="1"/>
    <col min="4" max="4" width="7.00390625" style="1" customWidth="1"/>
    <col min="5" max="5" width="12.140625" style="0" customWidth="1"/>
    <col min="6" max="6" width="9.8515625" style="0" customWidth="1"/>
    <col min="7" max="7" width="10.57421875" style="0" customWidth="1"/>
    <col min="8" max="8" width="9.7109375" style="2" customWidth="1"/>
    <col min="9" max="9" width="9.28125" style="2" customWidth="1"/>
    <col min="10" max="12" width="9.8515625" style="0" customWidth="1"/>
    <col min="13" max="13" width="10.00390625" style="0" customWidth="1"/>
    <col min="14" max="14" width="9.421875" style="0" customWidth="1"/>
    <col min="15" max="15" width="10.00390625" style="0" customWidth="1"/>
    <col min="16" max="16384" width="11.57421875" style="0" customWidth="1"/>
  </cols>
  <sheetData>
    <row r="1" spans="2:13" ht="16.5" customHeight="1">
      <c r="B1" s="3" t="s">
        <v>0</v>
      </c>
      <c r="D1" s="4"/>
      <c r="H1"/>
      <c r="I1"/>
      <c r="K1" s="2" t="s">
        <v>1</v>
      </c>
      <c r="L1" s="2" t="s">
        <v>2</v>
      </c>
      <c r="M1" s="2"/>
    </row>
    <row r="2" spans="2:4" ht="15.75" customHeight="1">
      <c r="B2" t="s">
        <v>3</v>
      </c>
      <c r="D2"/>
    </row>
    <row r="3" spans="4:5" ht="18.75" customHeight="1">
      <c r="D3"/>
      <c r="E3" t="s">
        <v>4</v>
      </c>
    </row>
    <row r="4" spans="5:13" ht="18.75" customHeight="1">
      <c r="E4" t="s">
        <v>5</v>
      </c>
      <c r="H4" t="s">
        <v>6</v>
      </c>
      <c r="K4" s="5">
        <f>F13+H13+I13</f>
        <v>72748.09151490073</v>
      </c>
      <c r="M4" s="2">
        <f>H14+I14+F14</f>
        <v>75135.44865592671</v>
      </c>
    </row>
    <row r="5" spans="1:11" ht="16.5" customHeight="1">
      <c r="A5" t="s">
        <v>7</v>
      </c>
      <c r="E5" s="6">
        <v>0.07</v>
      </c>
      <c r="G5" s="7">
        <v>0.07</v>
      </c>
      <c r="H5" s="8">
        <v>0.03</v>
      </c>
      <c r="I5" s="9">
        <v>0</v>
      </c>
      <c r="J5" s="8">
        <v>0.03</v>
      </c>
      <c r="K5" s="8"/>
    </row>
    <row r="6" spans="1:15" s="10" customFormat="1" ht="16.5" customHeight="1">
      <c r="A6" s="10" t="s">
        <v>8</v>
      </c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0">
        <v>6</v>
      </c>
      <c r="H6" s="10">
        <v>7</v>
      </c>
      <c r="I6" s="10">
        <v>8</v>
      </c>
      <c r="J6" s="10">
        <v>9</v>
      </c>
      <c r="K6" s="10">
        <v>10</v>
      </c>
      <c r="L6" s="10">
        <v>11</v>
      </c>
      <c r="M6" s="10">
        <v>12</v>
      </c>
      <c r="N6" s="10">
        <v>13</v>
      </c>
      <c r="O6" s="10">
        <v>14</v>
      </c>
    </row>
    <row r="7" spans="1:15" ht="45" customHeight="1">
      <c r="A7" t="s">
        <v>9</v>
      </c>
      <c r="B7" s="11" t="s">
        <v>10</v>
      </c>
      <c r="C7" s="11" t="s">
        <v>11</v>
      </c>
      <c r="D7" s="12" t="s">
        <v>12</v>
      </c>
      <c r="E7" s="13" t="s">
        <v>13</v>
      </c>
      <c r="F7" s="14" t="s">
        <v>14</v>
      </c>
      <c r="G7" s="13" t="s">
        <v>15</v>
      </c>
      <c r="H7" s="15" t="s">
        <v>16</v>
      </c>
      <c r="I7" s="11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3" t="s">
        <v>22</v>
      </c>
      <c r="O7" t="s">
        <v>23</v>
      </c>
    </row>
    <row r="8" spans="1:15" ht="14.25" customHeight="1">
      <c r="A8">
        <v>65</v>
      </c>
      <c r="B8" t="s">
        <v>24</v>
      </c>
      <c r="C8">
        <v>31.9</v>
      </c>
      <c r="D8" s="16">
        <f>1/C8</f>
        <v>0.031347962382445145</v>
      </c>
      <c r="E8" s="17">
        <v>500000</v>
      </c>
      <c r="G8" s="18">
        <v>20000</v>
      </c>
      <c r="H8" s="19">
        <v>30000</v>
      </c>
      <c r="I8" s="19">
        <v>16000</v>
      </c>
      <c r="J8" s="19">
        <v>65000</v>
      </c>
      <c r="K8" s="19"/>
      <c r="L8" s="20">
        <f aca="true" t="shared" si="0" ref="L8:L14">IF(J8+K8-F8-H8-I8&gt;0,J8+K8-F8-H8-I8,0)</f>
        <v>19000</v>
      </c>
      <c r="M8" s="20">
        <f aca="true" t="shared" si="1" ref="M8:M14">IF(L8&gt;G8*(1+$G$5),G8*(1+$G$5),L8)</f>
        <v>19000</v>
      </c>
      <c r="N8" s="5">
        <f aca="true" t="shared" si="2" ref="N8:N14">F8+L8-M8</f>
        <v>0</v>
      </c>
      <c r="O8" s="5">
        <f aca="true" t="shared" si="3" ref="O8:O13">IF(N8-L8&lt;0,0,N8-L8)</f>
        <v>0</v>
      </c>
    </row>
    <row r="9" spans="1:15" ht="14.25" customHeight="1">
      <c r="A9">
        <v>66</v>
      </c>
      <c r="B9" s="21" t="s">
        <v>25</v>
      </c>
      <c r="C9" s="22"/>
      <c r="D9" s="23"/>
      <c r="E9" s="5">
        <f aca="true" t="shared" si="4" ref="E9:E51">IF((E8-N8)*(1+$E$5)&lt;0,0,(E8-N8)*(1+$E$5))</f>
        <v>535000</v>
      </c>
      <c r="G9" s="5">
        <f aca="true" t="shared" si="5" ref="G9:G15">G8*(1+$G$5)-M8+O8</f>
        <v>2400</v>
      </c>
      <c r="H9" s="5">
        <f aca="true" t="shared" si="6" ref="H9:H51">H8*(1+$H$5)</f>
        <v>30900</v>
      </c>
      <c r="I9" s="5">
        <f aca="true" t="shared" si="7" ref="I9:I51">I8</f>
        <v>16000</v>
      </c>
      <c r="J9" s="5">
        <f aca="true" t="shared" si="8" ref="J9:J51">J8*(1+$J$5)</f>
        <v>66950</v>
      </c>
      <c r="K9" s="5"/>
      <c r="L9" s="20">
        <f t="shared" si="0"/>
        <v>20050</v>
      </c>
      <c r="M9" s="20">
        <f t="shared" si="1"/>
        <v>2568</v>
      </c>
      <c r="N9" s="5">
        <f t="shared" si="2"/>
        <v>17482</v>
      </c>
      <c r="O9" s="5">
        <f t="shared" si="3"/>
        <v>0</v>
      </c>
    </row>
    <row r="10" spans="1:15" ht="14.25" customHeight="1">
      <c r="A10">
        <v>67</v>
      </c>
      <c r="B10" s="21" t="s">
        <v>26</v>
      </c>
      <c r="C10" s="22"/>
      <c r="D10" s="23"/>
      <c r="E10" s="5">
        <f t="shared" si="4"/>
        <v>553744.26</v>
      </c>
      <c r="F10" s="2"/>
      <c r="G10" s="5">
        <f t="shared" si="5"/>
        <v>0</v>
      </c>
      <c r="H10" s="5">
        <f t="shared" si="6"/>
        <v>31827</v>
      </c>
      <c r="I10" s="5">
        <f t="shared" si="7"/>
        <v>16000</v>
      </c>
      <c r="J10" s="5">
        <f t="shared" si="8"/>
        <v>68958.5</v>
      </c>
      <c r="K10" s="5"/>
      <c r="L10" s="20">
        <f t="shared" si="0"/>
        <v>21131.5</v>
      </c>
      <c r="M10" s="20">
        <f t="shared" si="1"/>
        <v>0</v>
      </c>
      <c r="N10" s="5">
        <f t="shared" si="2"/>
        <v>21131.5</v>
      </c>
      <c r="O10" s="5">
        <f t="shared" si="3"/>
        <v>0</v>
      </c>
    </row>
    <row r="11" spans="1:15" ht="14.25" customHeight="1">
      <c r="A11">
        <v>68</v>
      </c>
      <c r="B11" s="21" t="s">
        <v>27</v>
      </c>
      <c r="C11" s="22"/>
      <c r="D11" s="23"/>
      <c r="E11" s="5">
        <f t="shared" si="4"/>
        <v>569895.6532000001</v>
      </c>
      <c r="F11" s="2"/>
      <c r="G11" s="5">
        <f t="shared" si="5"/>
        <v>0</v>
      </c>
      <c r="H11" s="5">
        <f t="shared" si="6"/>
        <v>32781.81</v>
      </c>
      <c r="I11" s="5">
        <f t="shared" si="7"/>
        <v>16000</v>
      </c>
      <c r="J11" s="5">
        <f t="shared" si="8"/>
        <v>71027.255</v>
      </c>
      <c r="K11" s="5"/>
      <c r="L11" s="20">
        <f t="shared" si="0"/>
        <v>22245.445000000007</v>
      </c>
      <c r="M11" s="20">
        <f t="shared" si="1"/>
        <v>0</v>
      </c>
      <c r="N11" s="5">
        <f t="shared" si="2"/>
        <v>22245.445000000007</v>
      </c>
      <c r="O11" s="5">
        <f t="shared" si="3"/>
        <v>0</v>
      </c>
    </row>
    <row r="12" spans="1:15" ht="14.25" customHeight="1">
      <c r="A12">
        <v>69</v>
      </c>
      <c r="B12" s="21" t="s">
        <v>28</v>
      </c>
      <c r="C12" s="22"/>
      <c r="D12" s="23"/>
      <c r="E12" s="5">
        <f t="shared" si="4"/>
        <v>585985.722774</v>
      </c>
      <c r="F12" s="2"/>
      <c r="G12" s="5">
        <f t="shared" si="5"/>
        <v>0</v>
      </c>
      <c r="H12" s="5">
        <f t="shared" si="6"/>
        <v>33765.264299999995</v>
      </c>
      <c r="I12" s="5">
        <f t="shared" si="7"/>
        <v>16000</v>
      </c>
      <c r="J12" s="5">
        <f t="shared" si="8"/>
        <v>73158.07265</v>
      </c>
      <c r="K12" s="5"/>
      <c r="L12" s="20">
        <f t="shared" si="0"/>
        <v>23392.808350000007</v>
      </c>
      <c r="M12" s="20">
        <f t="shared" si="1"/>
        <v>0</v>
      </c>
      <c r="N12" s="5">
        <f t="shared" si="2"/>
        <v>23392.808350000007</v>
      </c>
      <c r="O12" s="5">
        <f t="shared" si="3"/>
        <v>0</v>
      </c>
    </row>
    <row r="13" spans="1:15" ht="15.75" customHeight="1">
      <c r="A13">
        <v>70</v>
      </c>
      <c r="B13" s="21" t="s">
        <v>29</v>
      </c>
      <c r="C13" s="22">
        <v>27.4</v>
      </c>
      <c r="D13" s="16">
        <f aca="true" t="shared" si="9" ref="D13:D51">1/C13</f>
        <v>0.03649635036496351</v>
      </c>
      <c r="E13" s="5">
        <f t="shared" si="4"/>
        <v>601974.4184336801</v>
      </c>
      <c r="F13" s="2">
        <f aca="true" t="shared" si="10" ref="F13:F51">E13*D13</f>
        <v>21969.869285900735</v>
      </c>
      <c r="G13" s="5">
        <f t="shared" si="5"/>
        <v>0</v>
      </c>
      <c r="H13" s="5">
        <f t="shared" si="6"/>
        <v>34778.222229</v>
      </c>
      <c r="I13" s="5">
        <f t="shared" si="7"/>
        <v>16000</v>
      </c>
      <c r="J13" s="5">
        <f t="shared" si="8"/>
        <v>75352.8148295</v>
      </c>
      <c r="L13" s="20">
        <f t="shared" si="0"/>
        <v>2604.723314599265</v>
      </c>
      <c r="M13" s="20">
        <f t="shared" si="1"/>
        <v>0</v>
      </c>
      <c r="N13" s="5">
        <f t="shared" si="2"/>
        <v>24574.5926005</v>
      </c>
      <c r="O13" s="5">
        <f t="shared" si="3"/>
        <v>21969.869285900735</v>
      </c>
    </row>
    <row r="14" spans="1:15" ht="14.25" customHeight="1">
      <c r="A14">
        <v>71</v>
      </c>
      <c r="B14" t="s">
        <v>30</v>
      </c>
      <c r="C14" s="22">
        <v>26.5</v>
      </c>
      <c r="D14" s="16">
        <f t="shared" si="9"/>
        <v>0.03773584905660377</v>
      </c>
      <c r="E14" s="5">
        <f t="shared" si="4"/>
        <v>617817.8136415028</v>
      </c>
      <c r="F14" s="2">
        <f t="shared" si="10"/>
        <v>23313.87976005671</v>
      </c>
      <c r="G14" s="5">
        <f t="shared" si="5"/>
        <v>21969.869285900735</v>
      </c>
      <c r="H14" s="5">
        <f t="shared" si="6"/>
        <v>35821.56889587</v>
      </c>
      <c r="I14" s="5">
        <f t="shared" si="7"/>
        <v>16000</v>
      </c>
      <c r="J14" s="5">
        <f t="shared" si="8"/>
        <v>77613.399274385</v>
      </c>
      <c r="L14" s="20">
        <f t="shared" si="0"/>
        <v>2477.9506184582933</v>
      </c>
      <c r="M14" s="20">
        <f t="shared" si="1"/>
        <v>2477.9506184582933</v>
      </c>
      <c r="N14" s="5">
        <f t="shared" si="2"/>
        <v>23313.87976005671</v>
      </c>
      <c r="O14" s="5" t="s">
        <v>31</v>
      </c>
    </row>
    <row r="15" spans="1:15" ht="14.25" customHeight="1">
      <c r="A15">
        <v>72</v>
      </c>
      <c r="B15" t="s">
        <v>32</v>
      </c>
      <c r="C15" s="22">
        <v>25.6</v>
      </c>
      <c r="D15" s="16">
        <f t="shared" si="9"/>
        <v>0.0390625</v>
      </c>
      <c r="E15" s="5">
        <f t="shared" si="4"/>
        <v>636119.2092531472</v>
      </c>
      <c r="F15" s="2">
        <f t="shared" si="10"/>
        <v>24848.406611451064</v>
      </c>
      <c r="G15" s="5" t="e">
        <f t="shared" si="5"/>
        <v>#VALUE!</v>
      </c>
      <c r="H15" s="5">
        <f t="shared" si="6"/>
        <v>36896.2159627461</v>
      </c>
      <c r="I15" s="5">
        <f t="shared" si="7"/>
        <v>16000</v>
      </c>
      <c r="J15" s="5">
        <f t="shared" si="8"/>
        <v>79941.80125261655</v>
      </c>
      <c r="K15" s="5"/>
      <c r="L15" s="20">
        <f aca="true" t="shared" si="11" ref="L15:L26">IF(J15+K15-F15-I15-H15&gt;0,J15+K15-F15-I15-H15,0)</f>
        <v>2197.17867841939</v>
      </c>
      <c r="M15" s="20"/>
      <c r="N15" s="5">
        <f aca="true" t="shared" si="12" ref="N15:N51">IF(E15&lt;L15,E15,IF(D15*E15&gt;(J15-H15-I15),D15*E15,J15-H15-I15))</f>
        <v>27045.585289870454</v>
      </c>
      <c r="O15" s="5">
        <f aca="true" t="shared" si="13" ref="O15:O51">IF(N15-L15&lt;0,0,N15-L15)</f>
        <v>24848.406611451064</v>
      </c>
    </row>
    <row r="16" spans="1:15" ht="14.25" customHeight="1">
      <c r="A16">
        <v>73</v>
      </c>
      <c r="B16" t="s">
        <v>33</v>
      </c>
      <c r="C16" s="22">
        <v>24.7</v>
      </c>
      <c r="D16" s="16">
        <f t="shared" si="9"/>
        <v>0.04048582995951417</v>
      </c>
      <c r="E16" s="5">
        <f t="shared" si="4"/>
        <v>651708.7776407062</v>
      </c>
      <c r="F16" s="2">
        <f t="shared" si="10"/>
        <v>26384.970754684462</v>
      </c>
      <c r="G16" s="5" t="e">
        <f aca="true" t="shared" si="14" ref="G16:G51">G15*(1+$G$5)+O16</f>
        <v>#VALUE!</v>
      </c>
      <c r="H16" s="5">
        <f t="shared" si="6"/>
        <v>38003.102441628485</v>
      </c>
      <c r="I16" s="5">
        <f t="shared" si="7"/>
        <v>16000</v>
      </c>
      <c r="J16" s="5">
        <f t="shared" si="8"/>
        <v>82340.05529019506</v>
      </c>
      <c r="K16" s="5"/>
      <c r="L16" s="20">
        <f t="shared" si="11"/>
        <v>1951.982093882114</v>
      </c>
      <c r="M16" s="20"/>
      <c r="N16" s="5">
        <f t="shared" si="12"/>
        <v>28336.952848566572</v>
      </c>
      <c r="O16" s="5">
        <f t="shared" si="13"/>
        <v>26384.97075468446</v>
      </c>
    </row>
    <row r="17" spans="1:15" ht="14.25" customHeight="1">
      <c r="A17">
        <v>74</v>
      </c>
      <c r="B17" t="s">
        <v>34</v>
      </c>
      <c r="C17" s="22">
        <v>23.8</v>
      </c>
      <c r="D17" s="16">
        <f t="shared" si="9"/>
        <v>0.04201680672268907</v>
      </c>
      <c r="E17" s="5">
        <f t="shared" si="4"/>
        <v>667007.8525275894</v>
      </c>
      <c r="F17" s="2">
        <f t="shared" si="10"/>
        <v>28025.54002216762</v>
      </c>
      <c r="G17" s="5" t="e">
        <f t="shared" si="14"/>
        <v>#VALUE!</v>
      </c>
      <c r="H17" s="5">
        <f t="shared" si="6"/>
        <v>39143.19551487734</v>
      </c>
      <c r="I17" s="5">
        <f t="shared" si="7"/>
        <v>16000</v>
      </c>
      <c r="J17" s="5">
        <f t="shared" si="8"/>
        <v>84810.25694890092</v>
      </c>
      <c r="K17" s="5"/>
      <c r="L17" s="20">
        <f t="shared" si="11"/>
        <v>1641.5214118559525</v>
      </c>
      <c r="M17" s="20"/>
      <c r="N17" s="5">
        <f t="shared" si="12"/>
        <v>29667.061434023577</v>
      </c>
      <c r="O17" s="5">
        <f t="shared" si="13"/>
        <v>28025.540022167625</v>
      </c>
    </row>
    <row r="18" spans="1:15" ht="14.25" customHeight="1">
      <c r="A18">
        <v>75</v>
      </c>
      <c r="B18" t="s">
        <v>35</v>
      </c>
      <c r="C18" s="22">
        <v>22.9</v>
      </c>
      <c r="D18" s="16">
        <f t="shared" si="9"/>
        <v>0.04366812227074236</v>
      </c>
      <c r="E18" s="5">
        <f t="shared" si="4"/>
        <v>681954.6464701155</v>
      </c>
      <c r="F18" s="2">
        <f t="shared" si="10"/>
        <v>29779.678885157886</v>
      </c>
      <c r="G18" s="5" t="e">
        <f t="shared" si="14"/>
        <v>#VALUE!</v>
      </c>
      <c r="H18" s="5">
        <f t="shared" si="6"/>
        <v>40317.49138032366</v>
      </c>
      <c r="I18" s="5">
        <f t="shared" si="7"/>
        <v>16000</v>
      </c>
      <c r="J18" s="5">
        <f t="shared" si="8"/>
        <v>87354.56465736796</v>
      </c>
      <c r="K18" s="5"/>
      <c r="L18" s="20">
        <f t="shared" si="11"/>
        <v>1257.3943918864024</v>
      </c>
      <c r="M18" s="20"/>
      <c r="N18" s="5">
        <f t="shared" si="12"/>
        <v>31037.073277044292</v>
      </c>
      <c r="O18" s="5">
        <f t="shared" si="13"/>
        <v>29779.67888515789</v>
      </c>
    </row>
    <row r="19" spans="1:15" ht="14.25" customHeight="1">
      <c r="A19">
        <v>76</v>
      </c>
      <c r="B19" t="s">
        <v>36</v>
      </c>
      <c r="C19" s="22">
        <v>22</v>
      </c>
      <c r="D19" s="16">
        <f t="shared" si="9"/>
        <v>0.045454545454545456</v>
      </c>
      <c r="E19" s="5">
        <f t="shared" si="4"/>
        <v>696481.8033165862</v>
      </c>
      <c r="F19" s="2">
        <f t="shared" si="10"/>
        <v>31658.263787117554</v>
      </c>
      <c r="G19" s="5" t="e">
        <f t="shared" si="14"/>
        <v>#VALUE!</v>
      </c>
      <c r="H19" s="5">
        <f t="shared" si="6"/>
        <v>41527.01612173337</v>
      </c>
      <c r="I19" s="5">
        <f t="shared" si="7"/>
        <v>16000</v>
      </c>
      <c r="J19" s="5">
        <f t="shared" si="8"/>
        <v>89975.20159708899</v>
      </c>
      <c r="K19" s="5"/>
      <c r="L19" s="20">
        <f t="shared" si="11"/>
        <v>789.9216882380642</v>
      </c>
      <c r="M19" s="20"/>
      <c r="N19" s="5">
        <f t="shared" si="12"/>
        <v>32448.185475355618</v>
      </c>
      <c r="O19" s="5">
        <f t="shared" si="13"/>
        <v>31658.263787117554</v>
      </c>
    </row>
    <row r="20" spans="1:15" ht="14.25" customHeight="1">
      <c r="A20">
        <v>77</v>
      </c>
      <c r="B20" t="s">
        <v>37</v>
      </c>
      <c r="C20" s="22">
        <v>21.2</v>
      </c>
      <c r="D20" s="16">
        <f t="shared" si="9"/>
        <v>0.04716981132075472</v>
      </c>
      <c r="E20" s="5">
        <f t="shared" si="4"/>
        <v>710515.9710901168</v>
      </c>
      <c r="F20" s="2">
        <f t="shared" si="10"/>
        <v>33514.90429670362</v>
      </c>
      <c r="G20" s="5" t="e">
        <f t="shared" si="14"/>
        <v>#VALUE!</v>
      </c>
      <c r="H20" s="5">
        <f t="shared" si="6"/>
        <v>42772.82660538537</v>
      </c>
      <c r="I20" s="5">
        <f t="shared" si="7"/>
        <v>16000</v>
      </c>
      <c r="J20" s="5">
        <f t="shared" si="8"/>
        <v>92674.45764500166</v>
      </c>
      <c r="K20" s="5"/>
      <c r="L20" s="20">
        <f t="shared" si="11"/>
        <v>386.72674291266594</v>
      </c>
      <c r="M20" s="20"/>
      <c r="N20" s="5">
        <f t="shared" si="12"/>
        <v>33901.63103961629</v>
      </c>
      <c r="O20" s="5">
        <f t="shared" si="13"/>
        <v>33514.90429670362</v>
      </c>
    </row>
    <row r="21" spans="1:15" ht="14.25" customHeight="1">
      <c r="A21">
        <v>78</v>
      </c>
      <c r="B21" t="s">
        <v>38</v>
      </c>
      <c r="C21" s="22">
        <v>20.3</v>
      </c>
      <c r="D21" s="16">
        <f t="shared" si="9"/>
        <v>0.04926108374384236</v>
      </c>
      <c r="E21" s="5">
        <f t="shared" si="4"/>
        <v>723977.3438540356</v>
      </c>
      <c r="F21" s="2">
        <f t="shared" si="10"/>
        <v>35663.908564238205</v>
      </c>
      <c r="G21" s="5" t="e">
        <f t="shared" si="14"/>
        <v>#VALUE!</v>
      </c>
      <c r="H21" s="5">
        <f t="shared" si="6"/>
        <v>44056.01140354694</v>
      </c>
      <c r="I21" s="5">
        <f t="shared" si="7"/>
        <v>16000</v>
      </c>
      <c r="J21" s="5">
        <f t="shared" si="8"/>
        <v>95454.6913743517</v>
      </c>
      <c r="K21" s="5"/>
      <c r="L21" s="20">
        <f t="shared" si="11"/>
        <v>0</v>
      </c>
      <c r="M21" s="20"/>
      <c r="N21" s="5">
        <f t="shared" si="12"/>
        <v>35663.908564238205</v>
      </c>
      <c r="O21" s="5">
        <f t="shared" si="13"/>
        <v>35663.908564238205</v>
      </c>
    </row>
    <row r="22" spans="1:15" ht="14.25" customHeight="1">
      <c r="A22">
        <v>79</v>
      </c>
      <c r="B22" t="s">
        <v>39</v>
      </c>
      <c r="C22" s="22">
        <v>19.5</v>
      </c>
      <c r="D22" s="16">
        <f t="shared" si="9"/>
        <v>0.05128205128205128</v>
      </c>
      <c r="E22" s="5">
        <f t="shared" si="4"/>
        <v>736495.3757600832</v>
      </c>
      <c r="F22" s="2">
        <f t="shared" si="10"/>
        <v>37768.993628722215</v>
      </c>
      <c r="G22" s="5" t="e">
        <f t="shared" si="14"/>
        <v>#VALUE!</v>
      </c>
      <c r="H22" s="5">
        <f t="shared" si="6"/>
        <v>45377.69174565335</v>
      </c>
      <c r="I22" s="5">
        <f t="shared" si="7"/>
        <v>16000</v>
      </c>
      <c r="J22" s="5">
        <f t="shared" si="8"/>
        <v>98318.33211558226</v>
      </c>
      <c r="K22" s="5"/>
      <c r="L22" s="20">
        <f t="shared" si="11"/>
        <v>0</v>
      </c>
      <c r="M22" s="20"/>
      <c r="N22" s="5">
        <f t="shared" si="12"/>
        <v>37768.993628722215</v>
      </c>
      <c r="O22" s="5">
        <f t="shared" si="13"/>
        <v>37768.993628722215</v>
      </c>
    </row>
    <row r="23" spans="1:15" ht="14.25" customHeight="1">
      <c r="A23">
        <v>80</v>
      </c>
      <c r="B23" t="s">
        <v>40</v>
      </c>
      <c r="C23" s="22">
        <v>18.7</v>
      </c>
      <c r="D23" s="16">
        <f t="shared" si="9"/>
        <v>0.053475935828877004</v>
      </c>
      <c r="E23" s="5">
        <f t="shared" si="4"/>
        <v>747637.2288805563</v>
      </c>
      <c r="F23" s="2">
        <f t="shared" si="10"/>
        <v>39980.600474896055</v>
      </c>
      <c r="G23" s="5" t="e">
        <f t="shared" si="14"/>
        <v>#VALUE!</v>
      </c>
      <c r="H23" s="5">
        <f t="shared" si="6"/>
        <v>46739.02249802295</v>
      </c>
      <c r="I23" s="5">
        <f t="shared" si="7"/>
        <v>16000</v>
      </c>
      <c r="J23" s="5">
        <f t="shared" si="8"/>
        <v>101267.88207904973</v>
      </c>
      <c r="K23" s="5"/>
      <c r="L23" s="20">
        <f t="shared" si="11"/>
        <v>0</v>
      </c>
      <c r="M23" s="20"/>
      <c r="N23" s="5">
        <f t="shared" si="12"/>
        <v>39980.600474896055</v>
      </c>
      <c r="O23" s="5">
        <f t="shared" si="13"/>
        <v>39980.600474896055</v>
      </c>
    </row>
    <row r="24" spans="1:15" ht="14.25" customHeight="1">
      <c r="A24">
        <v>81</v>
      </c>
      <c r="B24" t="s">
        <v>41</v>
      </c>
      <c r="C24" s="22">
        <v>17.9</v>
      </c>
      <c r="D24" s="16">
        <f t="shared" si="9"/>
        <v>0.0558659217877095</v>
      </c>
      <c r="E24" s="5">
        <f t="shared" si="4"/>
        <v>757192.5923940565</v>
      </c>
      <c r="F24" s="2">
        <f t="shared" si="10"/>
        <v>42301.26214491936</v>
      </c>
      <c r="G24" s="5" t="e">
        <f t="shared" si="14"/>
        <v>#VALUE!</v>
      </c>
      <c r="H24" s="5">
        <f t="shared" si="6"/>
        <v>48141.193172963634</v>
      </c>
      <c r="I24" s="5">
        <f t="shared" si="7"/>
        <v>16000</v>
      </c>
      <c r="J24" s="5">
        <f t="shared" si="8"/>
        <v>104305.91854142123</v>
      </c>
      <c r="K24" s="5"/>
      <c r="L24" s="20">
        <f t="shared" si="11"/>
        <v>0</v>
      </c>
      <c r="M24" s="20"/>
      <c r="N24" s="5">
        <f t="shared" si="12"/>
        <v>42301.26214491936</v>
      </c>
      <c r="O24" s="5">
        <f t="shared" si="13"/>
        <v>42301.26214491936</v>
      </c>
    </row>
    <row r="25" spans="1:15" ht="14.25" customHeight="1">
      <c r="A25">
        <v>82</v>
      </c>
      <c r="B25" t="s">
        <v>42</v>
      </c>
      <c r="C25" s="22">
        <v>17.1</v>
      </c>
      <c r="D25" s="16">
        <f t="shared" si="9"/>
        <v>0.05847953216374269</v>
      </c>
      <c r="E25" s="5">
        <f t="shared" si="4"/>
        <v>764933.7233665768</v>
      </c>
      <c r="F25" s="2">
        <f t="shared" si="10"/>
        <v>44732.96627874718</v>
      </c>
      <c r="G25" s="5" t="e">
        <f t="shared" si="14"/>
        <v>#VALUE!</v>
      </c>
      <c r="H25" s="5">
        <f t="shared" si="6"/>
        <v>49585.42896815255</v>
      </c>
      <c r="I25" s="5">
        <f t="shared" si="7"/>
        <v>16000</v>
      </c>
      <c r="J25" s="5">
        <f t="shared" si="8"/>
        <v>107435.09609766386</v>
      </c>
      <c r="K25" s="5"/>
      <c r="L25" s="20">
        <f t="shared" si="11"/>
        <v>0</v>
      </c>
      <c r="M25" s="20"/>
      <c r="N25" s="5">
        <f t="shared" si="12"/>
        <v>44732.96627874718</v>
      </c>
      <c r="O25" s="5">
        <f t="shared" si="13"/>
        <v>44732.96627874718</v>
      </c>
    </row>
    <row r="26" spans="1:15" ht="14.25" customHeight="1">
      <c r="A26">
        <v>83</v>
      </c>
      <c r="B26" t="s">
        <v>43</v>
      </c>
      <c r="C26" s="22">
        <v>16.3</v>
      </c>
      <c r="D26" s="16">
        <f t="shared" si="9"/>
        <v>0.06134969325153374</v>
      </c>
      <c r="E26" s="5">
        <f t="shared" si="4"/>
        <v>770614.8100839778</v>
      </c>
      <c r="F26" s="2">
        <f t="shared" si="10"/>
        <v>47276.982213740965</v>
      </c>
      <c r="G26" s="5" t="e">
        <f t="shared" si="14"/>
        <v>#VALUE!</v>
      </c>
      <c r="H26" s="5">
        <f t="shared" si="6"/>
        <v>51072.99183719713</v>
      </c>
      <c r="I26" s="5">
        <f t="shared" si="7"/>
        <v>16000</v>
      </c>
      <c r="J26" s="5">
        <f t="shared" si="8"/>
        <v>110658.14898059377</v>
      </c>
      <c r="K26" s="5"/>
      <c r="L26" s="20">
        <f t="shared" si="11"/>
        <v>0</v>
      </c>
      <c r="M26" s="20"/>
      <c r="N26" s="5">
        <f t="shared" si="12"/>
        <v>47276.982213740965</v>
      </c>
      <c r="O26" s="5">
        <f t="shared" si="13"/>
        <v>47276.982213740965</v>
      </c>
    </row>
    <row r="27" spans="1:15" ht="14.25" customHeight="1">
      <c r="A27">
        <v>84</v>
      </c>
      <c r="B27" t="s">
        <v>44</v>
      </c>
      <c r="C27" s="22">
        <v>15.5</v>
      </c>
      <c r="D27" s="16">
        <f t="shared" si="9"/>
        <v>0.06451612903225806</v>
      </c>
      <c r="E27" s="5">
        <f t="shared" si="4"/>
        <v>773971.4758211535</v>
      </c>
      <c r="F27" s="2">
        <f t="shared" si="10"/>
        <v>49933.64360136474</v>
      </c>
      <c r="G27" s="5" t="e">
        <f t="shared" si="14"/>
        <v>#VALUE!</v>
      </c>
      <c r="H27" s="5">
        <f t="shared" si="6"/>
        <v>52605.18159231304</v>
      </c>
      <c r="I27" s="5">
        <f t="shared" si="7"/>
        <v>16000</v>
      </c>
      <c r="J27" s="5">
        <f t="shared" si="8"/>
        <v>113977.89345001159</v>
      </c>
      <c r="K27" s="5"/>
      <c r="L27" s="20">
        <f aca="true" t="shared" si="15" ref="L27:L51">IF(J27+K27-I27-H27&gt;0,J27+K27-I27-H27,0)</f>
        <v>45372.711857698545</v>
      </c>
      <c r="M27" s="20"/>
      <c r="N27" s="5">
        <f t="shared" si="12"/>
        <v>49933.64360136474</v>
      </c>
      <c r="O27" s="5">
        <f t="shared" si="13"/>
        <v>4560.931743666195</v>
      </c>
    </row>
    <row r="28" spans="1:15" ht="14.25" customHeight="1">
      <c r="A28">
        <v>85</v>
      </c>
      <c r="B28" t="s">
        <v>45</v>
      </c>
      <c r="C28" s="22">
        <v>14.8</v>
      </c>
      <c r="D28" s="16">
        <f t="shared" si="9"/>
        <v>0.06756756756756756</v>
      </c>
      <c r="E28" s="5">
        <f t="shared" si="4"/>
        <v>774720.480475174</v>
      </c>
      <c r="F28" s="2">
        <f t="shared" si="10"/>
        <v>52345.97841048472</v>
      </c>
      <c r="G28" s="5" t="e">
        <f t="shared" si="14"/>
        <v>#VALUE!</v>
      </c>
      <c r="H28" s="5">
        <f t="shared" si="6"/>
        <v>54183.337040082435</v>
      </c>
      <c r="I28" s="5">
        <f t="shared" si="7"/>
        <v>16000</v>
      </c>
      <c r="J28" s="5">
        <f t="shared" si="8"/>
        <v>117397.23025351194</v>
      </c>
      <c r="K28" s="5"/>
      <c r="L28" s="20">
        <f t="shared" si="15"/>
        <v>47213.8932134295</v>
      </c>
      <c r="M28" s="20"/>
      <c r="N28" s="5">
        <f t="shared" si="12"/>
        <v>52345.97841048472</v>
      </c>
      <c r="O28" s="5">
        <f t="shared" si="13"/>
        <v>5132.085197055218</v>
      </c>
    </row>
    <row r="29" spans="1:15" ht="14.25" customHeight="1">
      <c r="A29">
        <v>86</v>
      </c>
      <c r="B29" t="s">
        <v>46</v>
      </c>
      <c r="C29" s="22">
        <v>14.1</v>
      </c>
      <c r="D29" s="16">
        <f t="shared" si="9"/>
        <v>0.07092198581560284</v>
      </c>
      <c r="E29" s="5">
        <f t="shared" si="4"/>
        <v>772940.7172092176</v>
      </c>
      <c r="F29" s="2">
        <f t="shared" si="10"/>
        <v>54818.49058221402</v>
      </c>
      <c r="G29" s="5" t="e">
        <f t="shared" si="14"/>
        <v>#VALUE!</v>
      </c>
      <c r="H29" s="5">
        <f t="shared" si="6"/>
        <v>55808.83715128491</v>
      </c>
      <c r="I29" s="5">
        <f t="shared" si="7"/>
        <v>16000</v>
      </c>
      <c r="J29" s="5">
        <f t="shared" si="8"/>
        <v>120919.1471611173</v>
      </c>
      <c r="K29" s="5"/>
      <c r="L29" s="20">
        <f t="shared" si="15"/>
        <v>49110.31000983239</v>
      </c>
      <c r="M29" s="20"/>
      <c r="N29" s="5">
        <f t="shared" si="12"/>
        <v>54818.49058221402</v>
      </c>
      <c r="O29" s="5">
        <f t="shared" si="13"/>
        <v>5708.180572381629</v>
      </c>
    </row>
    <row r="30" spans="1:15" ht="14.25" customHeight="1">
      <c r="A30">
        <v>87</v>
      </c>
      <c r="B30" t="s">
        <v>47</v>
      </c>
      <c r="C30" s="22">
        <v>13.4</v>
      </c>
      <c r="D30" s="16">
        <f t="shared" si="9"/>
        <v>0.07462686567164178</v>
      </c>
      <c r="E30" s="5">
        <f t="shared" si="4"/>
        <v>768390.782490894</v>
      </c>
      <c r="F30" s="2">
        <f t="shared" si="10"/>
        <v>57342.595708275665</v>
      </c>
      <c r="G30" s="5" t="e">
        <f t="shared" si="14"/>
        <v>#VALUE!</v>
      </c>
      <c r="H30" s="5">
        <f t="shared" si="6"/>
        <v>57483.10226582346</v>
      </c>
      <c r="I30" s="5">
        <f t="shared" si="7"/>
        <v>16000</v>
      </c>
      <c r="J30" s="5">
        <f t="shared" si="8"/>
        <v>124546.72157595083</v>
      </c>
      <c r="K30" s="5"/>
      <c r="L30" s="20">
        <f t="shared" si="15"/>
        <v>51063.61931012737</v>
      </c>
      <c r="M30" s="20"/>
      <c r="N30" s="5">
        <f t="shared" si="12"/>
        <v>57342.595708275665</v>
      </c>
      <c r="O30" s="5">
        <f t="shared" si="13"/>
        <v>6278.976398148297</v>
      </c>
    </row>
    <row r="31" spans="1:15" ht="14.25" customHeight="1">
      <c r="A31">
        <v>88</v>
      </c>
      <c r="B31" t="s">
        <v>48</v>
      </c>
      <c r="C31" s="22">
        <v>12.7</v>
      </c>
      <c r="D31" s="16">
        <f t="shared" si="9"/>
        <v>0.07874015748031496</v>
      </c>
      <c r="E31" s="5">
        <f t="shared" si="4"/>
        <v>760821.5598574016</v>
      </c>
      <c r="F31" s="2">
        <f t="shared" si="10"/>
        <v>59907.20943759068</v>
      </c>
      <c r="G31" s="5" t="e">
        <f t="shared" si="14"/>
        <v>#VALUE!</v>
      </c>
      <c r="H31" s="5">
        <f t="shared" si="6"/>
        <v>59207.59533379816</v>
      </c>
      <c r="I31" s="5">
        <f t="shared" si="7"/>
        <v>16000</v>
      </c>
      <c r="J31" s="5">
        <f t="shared" si="8"/>
        <v>128283.12322322936</v>
      </c>
      <c r="K31" s="5"/>
      <c r="L31" s="20">
        <f t="shared" si="15"/>
        <v>53075.52788943119</v>
      </c>
      <c r="M31" s="20"/>
      <c r="N31" s="5">
        <f t="shared" si="12"/>
        <v>59907.20943759068</v>
      </c>
      <c r="O31" s="5">
        <f t="shared" si="13"/>
        <v>6831.6815481594895</v>
      </c>
    </row>
    <row r="32" spans="1:15" ht="14.25" customHeight="1">
      <c r="A32">
        <v>89</v>
      </c>
      <c r="B32" t="s">
        <v>49</v>
      </c>
      <c r="C32" s="22">
        <v>12</v>
      </c>
      <c r="D32" s="16">
        <f t="shared" si="9"/>
        <v>0.08333333333333333</v>
      </c>
      <c r="E32" s="5">
        <f t="shared" si="4"/>
        <v>749978.3549491977</v>
      </c>
      <c r="F32" s="2">
        <f t="shared" si="10"/>
        <v>62498.19624576648</v>
      </c>
      <c r="G32" s="5" t="e">
        <f t="shared" si="14"/>
        <v>#VALUE!</v>
      </c>
      <c r="H32" s="5">
        <f t="shared" si="6"/>
        <v>60983.82319381211</v>
      </c>
      <c r="I32" s="5">
        <f t="shared" si="7"/>
        <v>16000</v>
      </c>
      <c r="J32" s="5">
        <f t="shared" si="8"/>
        <v>132131.61691992625</v>
      </c>
      <c r="K32" s="5"/>
      <c r="L32" s="20">
        <f t="shared" si="15"/>
        <v>55147.79372611414</v>
      </c>
      <c r="M32" s="20"/>
      <c r="N32" s="5">
        <f t="shared" si="12"/>
        <v>62498.19624576648</v>
      </c>
      <c r="O32" s="5">
        <f t="shared" si="13"/>
        <v>7350.402519652336</v>
      </c>
    </row>
    <row r="33" spans="1:15" ht="14.25" customHeight="1">
      <c r="A33">
        <v>90</v>
      </c>
      <c r="B33" t="s">
        <v>50</v>
      </c>
      <c r="C33" s="22">
        <v>11.4</v>
      </c>
      <c r="D33" s="16">
        <f t="shared" si="9"/>
        <v>0.08771929824561403</v>
      </c>
      <c r="E33" s="5">
        <f t="shared" si="4"/>
        <v>735603.7698126715</v>
      </c>
      <c r="F33" s="2">
        <f t="shared" si="10"/>
        <v>64526.646474795736</v>
      </c>
      <c r="G33" s="5" t="e">
        <f t="shared" si="14"/>
        <v>#VALUE!</v>
      </c>
      <c r="H33" s="5">
        <f t="shared" si="6"/>
        <v>62813.33788962648</v>
      </c>
      <c r="I33" s="5">
        <f t="shared" si="7"/>
        <v>16000</v>
      </c>
      <c r="J33" s="5">
        <f t="shared" si="8"/>
        <v>136095.56542752404</v>
      </c>
      <c r="K33" s="5"/>
      <c r="L33" s="20">
        <f t="shared" si="15"/>
        <v>57282.22753789756</v>
      </c>
      <c r="M33" s="20"/>
      <c r="N33" s="5">
        <f t="shared" si="12"/>
        <v>64526.646474795736</v>
      </c>
      <c r="O33" s="5">
        <f t="shared" si="13"/>
        <v>7244.418936898175</v>
      </c>
    </row>
    <row r="34" spans="1:15" ht="14.25" customHeight="1">
      <c r="A34">
        <v>91</v>
      </c>
      <c r="B34" t="s">
        <v>51</v>
      </c>
      <c r="C34" s="22">
        <v>10.8</v>
      </c>
      <c r="D34" s="16">
        <f t="shared" si="9"/>
        <v>0.09259259259259259</v>
      </c>
      <c r="E34" s="5">
        <f t="shared" si="4"/>
        <v>718052.521971527</v>
      </c>
      <c r="F34" s="2">
        <f t="shared" si="10"/>
        <v>66486.34462699323</v>
      </c>
      <c r="G34" s="5" t="e">
        <f t="shared" si="14"/>
        <v>#VALUE!</v>
      </c>
      <c r="H34" s="5">
        <f t="shared" si="6"/>
        <v>64697.73802631527</v>
      </c>
      <c r="I34" s="5">
        <f t="shared" si="7"/>
        <v>16000</v>
      </c>
      <c r="J34" s="5">
        <f t="shared" si="8"/>
        <v>140178.43239034977</v>
      </c>
      <c r="K34" s="5"/>
      <c r="L34" s="20">
        <f t="shared" si="15"/>
        <v>59480.6943640345</v>
      </c>
      <c r="M34" s="20"/>
      <c r="N34" s="5">
        <f t="shared" si="12"/>
        <v>66486.34462699323</v>
      </c>
      <c r="O34" s="5">
        <f t="shared" si="13"/>
        <v>7005.650262958734</v>
      </c>
    </row>
    <row r="35" spans="1:15" ht="14.25" customHeight="1">
      <c r="A35">
        <v>92</v>
      </c>
      <c r="B35" t="s">
        <v>52</v>
      </c>
      <c r="C35" s="22">
        <v>10.2</v>
      </c>
      <c r="D35" s="16">
        <f t="shared" si="9"/>
        <v>0.09803921568627452</v>
      </c>
      <c r="E35" s="5">
        <f t="shared" si="4"/>
        <v>697175.8097586513</v>
      </c>
      <c r="F35" s="2">
        <f t="shared" si="10"/>
        <v>68350.5695841815</v>
      </c>
      <c r="G35" s="5" t="e">
        <f t="shared" si="14"/>
        <v>#VALUE!</v>
      </c>
      <c r="H35" s="5">
        <f t="shared" si="6"/>
        <v>66638.67016710473</v>
      </c>
      <c r="I35" s="5">
        <f t="shared" si="7"/>
        <v>16000</v>
      </c>
      <c r="J35" s="5">
        <f t="shared" si="8"/>
        <v>144383.78536206027</v>
      </c>
      <c r="K35" s="5"/>
      <c r="L35" s="20">
        <f t="shared" si="15"/>
        <v>61745.115194955535</v>
      </c>
      <c r="M35" s="20"/>
      <c r="N35" s="5">
        <f t="shared" si="12"/>
        <v>68350.5695841815</v>
      </c>
      <c r="O35" s="5">
        <f t="shared" si="13"/>
        <v>6605.454389225968</v>
      </c>
    </row>
    <row r="36" spans="1:15" ht="14.25" customHeight="1">
      <c r="A36">
        <v>93</v>
      </c>
      <c r="B36" t="s">
        <v>53</v>
      </c>
      <c r="C36" s="22">
        <v>9.6</v>
      </c>
      <c r="D36" s="16">
        <f t="shared" si="9"/>
        <v>0.10416666666666667</v>
      </c>
      <c r="E36" s="5">
        <f t="shared" si="4"/>
        <v>672843.0069866827</v>
      </c>
      <c r="F36" s="2">
        <f t="shared" si="10"/>
        <v>70087.81322777945</v>
      </c>
      <c r="G36" s="5" t="e">
        <f t="shared" si="14"/>
        <v>#VALUE!</v>
      </c>
      <c r="H36" s="5">
        <f t="shared" si="6"/>
        <v>68637.83027211788</v>
      </c>
      <c r="I36" s="5">
        <f t="shared" si="7"/>
        <v>16000</v>
      </c>
      <c r="J36" s="5">
        <f t="shared" si="8"/>
        <v>148715.29892292208</v>
      </c>
      <c r="K36" s="5"/>
      <c r="L36" s="20">
        <f t="shared" si="15"/>
        <v>64077.46865080421</v>
      </c>
      <c r="M36" s="20"/>
      <c r="N36" s="5">
        <f t="shared" si="12"/>
        <v>70087.81322777945</v>
      </c>
      <c r="O36" s="5">
        <f t="shared" si="13"/>
        <v>6010.344576975243</v>
      </c>
    </row>
    <row r="37" spans="1:15" ht="14.25" customHeight="1">
      <c r="A37">
        <v>94</v>
      </c>
      <c r="B37" t="s">
        <v>54</v>
      </c>
      <c r="C37" s="22">
        <v>9.1</v>
      </c>
      <c r="D37" s="16">
        <f t="shared" si="9"/>
        <v>0.10989010989010989</v>
      </c>
      <c r="E37" s="5">
        <f t="shared" si="4"/>
        <v>644948.0573220265</v>
      </c>
      <c r="F37" s="2">
        <f t="shared" si="10"/>
        <v>70873.41289253038</v>
      </c>
      <c r="G37" s="5" t="e">
        <f t="shared" si="14"/>
        <v>#VALUE!</v>
      </c>
      <c r="H37" s="5">
        <f t="shared" si="6"/>
        <v>70696.96518028142</v>
      </c>
      <c r="I37" s="5">
        <f t="shared" si="7"/>
        <v>16000</v>
      </c>
      <c r="J37" s="5">
        <f t="shared" si="8"/>
        <v>153176.75789060976</v>
      </c>
      <c r="K37" s="5"/>
      <c r="L37" s="20">
        <f t="shared" si="15"/>
        <v>66479.79271032834</v>
      </c>
      <c r="M37" s="20"/>
      <c r="N37" s="5">
        <f t="shared" si="12"/>
        <v>70873.41289253038</v>
      </c>
      <c r="O37" s="5">
        <f t="shared" si="13"/>
        <v>4393.6201822020375</v>
      </c>
    </row>
    <row r="38" spans="1:15" ht="14.25" customHeight="1">
      <c r="A38">
        <v>95</v>
      </c>
      <c r="B38" t="s">
        <v>55</v>
      </c>
      <c r="C38" s="22">
        <v>8.6</v>
      </c>
      <c r="D38" s="16">
        <f t="shared" si="9"/>
        <v>0.11627906976744186</v>
      </c>
      <c r="E38" s="5">
        <f t="shared" si="4"/>
        <v>614259.8695395608</v>
      </c>
      <c r="F38" s="2">
        <f t="shared" si="10"/>
        <v>71425.56622553032</v>
      </c>
      <c r="G38" s="5" t="e">
        <f t="shared" si="14"/>
        <v>#VALUE!</v>
      </c>
      <c r="H38" s="5">
        <f t="shared" si="6"/>
        <v>72817.87413568987</v>
      </c>
      <c r="I38" s="5">
        <f t="shared" si="7"/>
        <v>16000</v>
      </c>
      <c r="J38" s="5">
        <f t="shared" si="8"/>
        <v>157772.06062732806</v>
      </c>
      <c r="K38" s="5"/>
      <c r="L38" s="20">
        <f t="shared" si="15"/>
        <v>68954.18649163819</v>
      </c>
      <c r="M38" s="20"/>
      <c r="N38" s="5">
        <f t="shared" si="12"/>
        <v>71425.56622553032</v>
      </c>
      <c r="O38" s="5">
        <f t="shared" si="13"/>
        <v>2471.3797338921286</v>
      </c>
    </row>
    <row r="39" spans="1:15" ht="14.25" customHeight="1">
      <c r="A39">
        <v>96</v>
      </c>
      <c r="B39" t="s">
        <v>56</v>
      </c>
      <c r="C39" s="22">
        <v>8.1</v>
      </c>
      <c r="D39" s="16">
        <f t="shared" si="9"/>
        <v>0.1234567901234568</v>
      </c>
      <c r="E39" s="5">
        <f t="shared" si="4"/>
        <v>580832.7045460126</v>
      </c>
      <c r="F39" s="2">
        <f t="shared" si="10"/>
        <v>71707.74130197686</v>
      </c>
      <c r="G39" s="5" t="e">
        <f t="shared" si="14"/>
        <v>#VALUE!</v>
      </c>
      <c r="H39" s="5">
        <f t="shared" si="6"/>
        <v>75002.41035976057</v>
      </c>
      <c r="I39" s="5">
        <f t="shared" si="7"/>
        <v>16000</v>
      </c>
      <c r="J39" s="5">
        <f t="shared" si="8"/>
        <v>162505.2224461479</v>
      </c>
      <c r="K39" s="5"/>
      <c r="L39" s="20">
        <f t="shared" si="15"/>
        <v>71502.81208638733</v>
      </c>
      <c r="M39" s="20"/>
      <c r="N39" s="5">
        <f t="shared" si="12"/>
        <v>71707.74130197686</v>
      </c>
      <c r="O39" s="5">
        <f t="shared" si="13"/>
        <v>204.92921558952366</v>
      </c>
    </row>
    <row r="40" spans="1:15" ht="14.25" customHeight="1">
      <c r="A40">
        <v>97</v>
      </c>
      <c r="B40" t="s">
        <v>57</v>
      </c>
      <c r="C40" s="22">
        <v>7.6</v>
      </c>
      <c r="D40" s="16">
        <f t="shared" si="9"/>
        <v>0.13157894736842105</v>
      </c>
      <c r="E40" s="5">
        <f t="shared" si="4"/>
        <v>544763.7106711182</v>
      </c>
      <c r="F40" s="2">
        <f t="shared" si="10"/>
        <v>71679.43561462082</v>
      </c>
      <c r="G40" s="5" t="e">
        <f t="shared" si="14"/>
        <v>#VALUE!</v>
      </c>
      <c r="H40" s="5">
        <f t="shared" si="6"/>
        <v>77252.48267055339</v>
      </c>
      <c r="I40" s="5">
        <f t="shared" si="7"/>
        <v>16000</v>
      </c>
      <c r="J40" s="5">
        <f t="shared" si="8"/>
        <v>167380.37911953236</v>
      </c>
      <c r="K40" s="5"/>
      <c r="L40" s="20">
        <f t="shared" si="15"/>
        <v>74127.89644897897</v>
      </c>
      <c r="M40" s="20"/>
      <c r="N40" s="5">
        <f t="shared" si="12"/>
        <v>74127.89644897897</v>
      </c>
      <c r="O40" s="5">
        <f t="shared" si="13"/>
        <v>0</v>
      </c>
    </row>
    <row r="41" spans="1:15" ht="14.25" customHeight="1">
      <c r="A41">
        <v>98</v>
      </c>
      <c r="B41" t="s">
        <v>58</v>
      </c>
      <c r="C41" s="22">
        <v>7.1</v>
      </c>
      <c r="D41" s="16">
        <f t="shared" si="9"/>
        <v>0.14084507042253522</v>
      </c>
      <c r="E41" s="5">
        <f t="shared" si="4"/>
        <v>503580.321217689</v>
      </c>
      <c r="F41" s="2">
        <f t="shared" si="10"/>
        <v>70926.80580530832</v>
      </c>
      <c r="G41" s="5" t="e">
        <f t="shared" si="14"/>
        <v>#VALUE!</v>
      </c>
      <c r="H41" s="5">
        <f t="shared" si="6"/>
        <v>79570.05715066999</v>
      </c>
      <c r="I41" s="5">
        <f t="shared" si="7"/>
        <v>16000</v>
      </c>
      <c r="J41" s="5">
        <f t="shared" si="8"/>
        <v>172401.79049311834</v>
      </c>
      <c r="K41" s="5"/>
      <c r="L41" s="20">
        <f t="shared" si="15"/>
        <v>76831.73334244835</v>
      </c>
      <c r="M41" s="20"/>
      <c r="N41" s="5">
        <f t="shared" si="12"/>
        <v>76831.73334244835</v>
      </c>
      <c r="O41" s="5">
        <f t="shared" si="13"/>
        <v>0</v>
      </c>
    </row>
    <row r="42" spans="1:15" ht="14.25" customHeight="1">
      <c r="A42">
        <v>99</v>
      </c>
      <c r="B42" t="s">
        <v>59</v>
      </c>
      <c r="C42" s="22">
        <v>6.7</v>
      </c>
      <c r="D42" s="16">
        <f t="shared" si="9"/>
        <v>0.14925373134328357</v>
      </c>
      <c r="E42" s="5">
        <f t="shared" si="4"/>
        <v>456620.98902650754</v>
      </c>
      <c r="F42" s="2">
        <f t="shared" si="10"/>
        <v>68152.38642186679</v>
      </c>
      <c r="G42" s="5" t="e">
        <f t="shared" si="14"/>
        <v>#VALUE!</v>
      </c>
      <c r="H42" s="5">
        <f t="shared" si="6"/>
        <v>81957.1588651901</v>
      </c>
      <c r="I42" s="5">
        <f t="shared" si="7"/>
        <v>16000</v>
      </c>
      <c r="J42" s="5">
        <f t="shared" si="8"/>
        <v>177573.8442079119</v>
      </c>
      <c r="K42" s="5"/>
      <c r="L42" s="20">
        <f t="shared" si="15"/>
        <v>79616.6853427218</v>
      </c>
      <c r="M42" s="20"/>
      <c r="N42" s="5">
        <f t="shared" si="12"/>
        <v>79616.6853427218</v>
      </c>
      <c r="O42" s="5">
        <f t="shared" si="13"/>
        <v>0</v>
      </c>
    </row>
    <row r="43" spans="1:15" ht="14.25" customHeight="1">
      <c r="A43">
        <v>100</v>
      </c>
      <c r="B43" t="s">
        <v>60</v>
      </c>
      <c r="C43" s="22">
        <v>6.3</v>
      </c>
      <c r="D43" s="16">
        <f t="shared" si="9"/>
        <v>0.15873015873015872</v>
      </c>
      <c r="E43" s="5">
        <f t="shared" si="4"/>
        <v>403394.60494165076</v>
      </c>
      <c r="F43" s="2">
        <f t="shared" si="10"/>
        <v>64030.889673277896</v>
      </c>
      <c r="G43" s="5" t="e">
        <f t="shared" si="14"/>
        <v>#VALUE!</v>
      </c>
      <c r="H43" s="5">
        <f t="shared" si="6"/>
        <v>84415.8736311458</v>
      </c>
      <c r="I43" s="5">
        <f t="shared" si="7"/>
        <v>16000</v>
      </c>
      <c r="J43" s="5">
        <f t="shared" si="8"/>
        <v>182901.05953414927</v>
      </c>
      <c r="K43" s="5"/>
      <c r="L43" s="20">
        <f t="shared" si="15"/>
        <v>82485.18590300347</v>
      </c>
      <c r="M43" s="20"/>
      <c r="N43" s="5">
        <f t="shared" si="12"/>
        <v>82485.18590300347</v>
      </c>
      <c r="O43" s="5">
        <f t="shared" si="13"/>
        <v>0</v>
      </c>
    </row>
    <row r="44" spans="1:15" ht="14.25" customHeight="1">
      <c r="A44">
        <v>101</v>
      </c>
      <c r="B44" t="s">
        <v>61</v>
      </c>
      <c r="C44" s="22">
        <v>5.9</v>
      </c>
      <c r="D44" s="16">
        <f t="shared" si="9"/>
        <v>0.1694915254237288</v>
      </c>
      <c r="E44" s="5">
        <f t="shared" si="4"/>
        <v>343373.07837135263</v>
      </c>
      <c r="F44" s="2">
        <f t="shared" si="10"/>
        <v>58198.82684260214</v>
      </c>
      <c r="G44" s="5" t="e">
        <f t="shared" si="14"/>
        <v>#VALUE!</v>
      </c>
      <c r="H44" s="5">
        <f t="shared" si="6"/>
        <v>86948.34984008018</v>
      </c>
      <c r="I44" s="5">
        <f t="shared" si="7"/>
        <v>16000</v>
      </c>
      <c r="J44" s="5">
        <f t="shared" si="8"/>
        <v>188388.09132017376</v>
      </c>
      <c r="K44" s="5"/>
      <c r="L44" s="20">
        <f t="shared" si="15"/>
        <v>85439.74148009358</v>
      </c>
      <c r="M44" s="20"/>
      <c r="N44" s="5">
        <f t="shared" si="12"/>
        <v>85439.74148009358</v>
      </c>
      <c r="O44" s="5">
        <f t="shared" si="13"/>
        <v>0</v>
      </c>
    </row>
    <row r="45" spans="1:15" ht="14.25" customHeight="1">
      <c r="A45">
        <v>102</v>
      </c>
      <c r="B45" t="s">
        <v>62</v>
      </c>
      <c r="C45" s="22">
        <v>5.5</v>
      </c>
      <c r="D45" s="16">
        <f t="shared" si="9"/>
        <v>0.18181818181818182</v>
      </c>
      <c r="E45" s="5">
        <f t="shared" si="4"/>
        <v>275988.67047364725</v>
      </c>
      <c r="F45" s="2">
        <f t="shared" si="10"/>
        <v>50179.75826793587</v>
      </c>
      <c r="G45" s="5" t="e">
        <f t="shared" si="14"/>
        <v>#VALUE!</v>
      </c>
      <c r="H45" s="5">
        <f t="shared" si="6"/>
        <v>89556.80033528259</v>
      </c>
      <c r="I45" s="5">
        <f t="shared" si="7"/>
        <v>16000</v>
      </c>
      <c r="J45" s="5">
        <f t="shared" si="8"/>
        <v>194039.73405977897</v>
      </c>
      <c r="K45" s="5"/>
      <c r="L45" s="20">
        <f t="shared" si="15"/>
        <v>88482.93372449638</v>
      </c>
      <c r="M45" s="20"/>
      <c r="N45" s="5">
        <f t="shared" si="12"/>
        <v>88482.93372449638</v>
      </c>
      <c r="O45" s="5">
        <f t="shared" si="13"/>
        <v>0</v>
      </c>
    </row>
    <row r="46" spans="1:15" ht="14.25" customHeight="1">
      <c r="A46">
        <v>103</v>
      </c>
      <c r="B46" t="s">
        <v>63</v>
      </c>
      <c r="C46" s="22">
        <v>5.2</v>
      </c>
      <c r="D46" s="16">
        <f t="shared" si="9"/>
        <v>0.1923076923076923</v>
      </c>
      <c r="E46" s="5">
        <f t="shared" si="4"/>
        <v>200631.13832159142</v>
      </c>
      <c r="F46" s="2">
        <f t="shared" si="10"/>
        <v>38582.911215690656</v>
      </c>
      <c r="G46" s="5" t="e">
        <f t="shared" si="14"/>
        <v>#VALUE!</v>
      </c>
      <c r="H46" s="5">
        <f t="shared" si="6"/>
        <v>92243.50434534108</v>
      </c>
      <c r="I46" s="5">
        <f t="shared" si="7"/>
        <v>16000</v>
      </c>
      <c r="J46" s="5">
        <f t="shared" si="8"/>
        <v>199860.92608157234</v>
      </c>
      <c r="K46" s="5"/>
      <c r="L46" s="20">
        <f t="shared" si="15"/>
        <v>91617.42173623126</v>
      </c>
      <c r="M46" s="20"/>
      <c r="N46" s="5">
        <f t="shared" si="12"/>
        <v>91617.42173623126</v>
      </c>
      <c r="O46" s="5">
        <f t="shared" si="13"/>
        <v>0</v>
      </c>
    </row>
    <row r="47" spans="1:15" ht="14.25" customHeight="1">
      <c r="A47">
        <v>104</v>
      </c>
      <c r="B47" t="s">
        <v>64</v>
      </c>
      <c r="C47" s="22">
        <v>4.9</v>
      </c>
      <c r="D47" s="16">
        <f t="shared" si="9"/>
        <v>0.2040816326530612</v>
      </c>
      <c r="E47" s="5">
        <f t="shared" si="4"/>
        <v>116644.67674633538</v>
      </c>
      <c r="F47" s="2">
        <f t="shared" si="10"/>
        <v>23805.036070680686</v>
      </c>
      <c r="G47" s="5" t="e">
        <f t="shared" si="14"/>
        <v>#VALUE!</v>
      </c>
      <c r="H47" s="5">
        <f t="shared" si="6"/>
        <v>95010.80947570132</v>
      </c>
      <c r="I47" s="5">
        <f t="shared" si="7"/>
        <v>16000</v>
      </c>
      <c r="J47" s="5">
        <f t="shared" si="8"/>
        <v>205856.75386401953</v>
      </c>
      <c r="K47" s="5"/>
      <c r="L47" s="20">
        <f t="shared" si="15"/>
        <v>94845.94438831821</v>
      </c>
      <c r="M47" s="20"/>
      <c r="N47" s="5">
        <f t="shared" si="12"/>
        <v>94845.94438831821</v>
      </c>
      <c r="O47" s="5">
        <f t="shared" si="13"/>
        <v>0</v>
      </c>
    </row>
    <row r="48" spans="1:15" ht="14.25" customHeight="1">
      <c r="A48">
        <v>105</v>
      </c>
      <c r="B48" t="s">
        <v>65</v>
      </c>
      <c r="C48" s="22">
        <v>4.5</v>
      </c>
      <c r="D48" s="16">
        <f t="shared" si="9"/>
        <v>0.2222222222222222</v>
      </c>
      <c r="E48" s="5">
        <f t="shared" si="4"/>
        <v>23324.64362307837</v>
      </c>
      <c r="F48" s="2">
        <f t="shared" si="10"/>
        <v>5183.25413846186</v>
      </c>
      <c r="G48" s="5" t="e">
        <f t="shared" si="14"/>
        <v>#VALUE!</v>
      </c>
      <c r="H48" s="5">
        <f t="shared" si="6"/>
        <v>97861.13375997236</v>
      </c>
      <c r="I48" s="5">
        <f t="shared" si="7"/>
        <v>16000</v>
      </c>
      <c r="J48" s="5">
        <f t="shared" si="8"/>
        <v>212032.45647994013</v>
      </c>
      <c r="K48" s="5"/>
      <c r="L48" s="20">
        <f t="shared" si="15"/>
        <v>98171.32271996776</v>
      </c>
      <c r="M48" s="20"/>
      <c r="N48" s="5">
        <f t="shared" si="12"/>
        <v>23324.64362307837</v>
      </c>
      <c r="O48" s="5">
        <f t="shared" si="13"/>
        <v>0</v>
      </c>
    </row>
    <row r="49" spans="1:15" ht="14.25" customHeight="1">
      <c r="A49">
        <v>106</v>
      </c>
      <c r="B49" t="s">
        <v>66</v>
      </c>
      <c r="C49" s="22">
        <v>4.2</v>
      </c>
      <c r="D49" s="16">
        <f t="shared" si="9"/>
        <v>0.23809523809523808</v>
      </c>
      <c r="E49" s="5">
        <f t="shared" si="4"/>
        <v>0</v>
      </c>
      <c r="F49" s="2">
        <f t="shared" si="10"/>
        <v>0</v>
      </c>
      <c r="G49" s="5" t="e">
        <f t="shared" si="14"/>
        <v>#VALUE!</v>
      </c>
      <c r="H49" s="5">
        <f t="shared" si="6"/>
        <v>100796.96777277153</v>
      </c>
      <c r="I49" s="5">
        <f t="shared" si="7"/>
        <v>16000</v>
      </c>
      <c r="J49" s="5">
        <f t="shared" si="8"/>
        <v>218393.43017433834</v>
      </c>
      <c r="K49" s="5"/>
      <c r="L49" s="20">
        <f t="shared" si="15"/>
        <v>101596.46240156681</v>
      </c>
      <c r="M49" s="20"/>
      <c r="N49" s="5">
        <f t="shared" si="12"/>
        <v>0</v>
      </c>
      <c r="O49" s="5">
        <f t="shared" si="13"/>
        <v>0</v>
      </c>
    </row>
    <row r="50" spans="1:15" ht="14.25" customHeight="1">
      <c r="A50">
        <v>107</v>
      </c>
      <c r="B50" t="s">
        <v>67</v>
      </c>
      <c r="C50" s="22">
        <v>3.9</v>
      </c>
      <c r="D50" s="16">
        <f t="shared" si="9"/>
        <v>0.25641025641025644</v>
      </c>
      <c r="E50" s="5">
        <f t="shared" si="4"/>
        <v>0</v>
      </c>
      <c r="F50" s="2">
        <f t="shared" si="10"/>
        <v>0</v>
      </c>
      <c r="G50" s="5" t="e">
        <f t="shared" si="14"/>
        <v>#VALUE!</v>
      </c>
      <c r="H50" s="5">
        <f t="shared" si="6"/>
        <v>103820.87680595469</v>
      </c>
      <c r="I50" s="5">
        <f t="shared" si="7"/>
        <v>16000</v>
      </c>
      <c r="J50" s="5">
        <f t="shared" si="8"/>
        <v>224945.23307956848</v>
      </c>
      <c r="K50" s="5"/>
      <c r="L50" s="20">
        <f t="shared" si="15"/>
        <v>105124.3562736138</v>
      </c>
      <c r="M50" s="20"/>
      <c r="N50" s="5">
        <f t="shared" si="12"/>
        <v>0</v>
      </c>
      <c r="O50" s="5">
        <f t="shared" si="13"/>
        <v>0</v>
      </c>
    </row>
    <row r="51" spans="1:15" ht="14.25" customHeight="1">
      <c r="A51">
        <v>108</v>
      </c>
      <c r="B51" t="s">
        <v>68</v>
      </c>
      <c r="C51" s="22">
        <v>3.7</v>
      </c>
      <c r="D51" s="16">
        <f t="shared" si="9"/>
        <v>0.27027027027027023</v>
      </c>
      <c r="E51" s="5">
        <f t="shared" si="4"/>
        <v>0</v>
      </c>
      <c r="F51" s="2">
        <f t="shared" si="10"/>
        <v>0</v>
      </c>
      <c r="G51" s="5" t="e">
        <f t="shared" si="14"/>
        <v>#VALUE!</v>
      </c>
      <c r="H51" s="5">
        <f t="shared" si="6"/>
        <v>106935.50311013333</v>
      </c>
      <c r="I51" s="5">
        <f t="shared" si="7"/>
        <v>16000</v>
      </c>
      <c r="J51" s="5">
        <f t="shared" si="8"/>
        <v>231693.59007195555</v>
      </c>
      <c r="K51" s="5"/>
      <c r="L51" s="20">
        <f t="shared" si="15"/>
        <v>108758.08696182222</v>
      </c>
      <c r="M51" s="20"/>
      <c r="N51" s="5">
        <f t="shared" si="12"/>
        <v>0</v>
      </c>
      <c r="O51" s="5">
        <f t="shared" si="13"/>
        <v>0</v>
      </c>
    </row>
    <row r="53" ht="12.75" customHeight="1">
      <c r="B53" s="24" t="s">
        <v>69</v>
      </c>
    </row>
    <row r="54" ht="12.75" customHeight="1">
      <c r="B54" t="s">
        <v>70</v>
      </c>
    </row>
    <row r="55" ht="12.75" customHeight="1">
      <c r="B55" t="s">
        <v>71</v>
      </c>
    </row>
    <row r="57" spans="1:15" ht="14.25" customHeight="1">
      <c r="A57">
        <v>1</v>
      </c>
      <c r="B57" t="s">
        <v>72</v>
      </c>
      <c r="C57" s="22"/>
      <c r="D57" s="23"/>
      <c r="E57" s="5"/>
      <c r="G57" s="2" t="s">
        <v>73</v>
      </c>
      <c r="H57" s="5"/>
      <c r="I57"/>
      <c r="J57" s="5"/>
      <c r="K57" s="5"/>
      <c r="L57" s="25">
        <v>2013</v>
      </c>
      <c r="M57" s="20"/>
      <c r="N57" s="5"/>
      <c r="O57" s="5"/>
    </row>
    <row r="58" spans="2:9" ht="14.25" customHeight="1">
      <c r="B58" t="s">
        <v>74</v>
      </c>
      <c r="D58"/>
      <c r="H58"/>
      <c r="I58"/>
    </row>
    <row r="59" spans="2:15" ht="14.25" customHeight="1">
      <c r="B59" s="26" t="s">
        <v>75</v>
      </c>
      <c r="C59" s="22"/>
      <c r="D59" s="23"/>
      <c r="E59" s="5"/>
      <c r="F59" s="2"/>
      <c r="G59" s="5"/>
      <c r="H59" s="5"/>
      <c r="I59" s="5"/>
      <c r="J59" s="5" t="s">
        <v>76</v>
      </c>
      <c r="K59" s="5"/>
      <c r="L59" s="20"/>
      <c r="M59" s="20"/>
      <c r="N59" s="5"/>
      <c r="O59" s="5"/>
    </row>
    <row r="60" spans="2:15" ht="14.25" customHeight="1">
      <c r="B60" s="26" t="s">
        <v>77</v>
      </c>
      <c r="C60" s="22"/>
      <c r="D60" s="23"/>
      <c r="E60" s="5"/>
      <c r="F60" s="2"/>
      <c r="G60" s="5"/>
      <c r="H60" s="5"/>
      <c r="I60" s="5"/>
      <c r="J60" s="5" t="s">
        <v>78</v>
      </c>
      <c r="K60" s="5"/>
      <c r="L60" s="20"/>
      <c r="M60" s="20" t="s">
        <v>79</v>
      </c>
      <c r="N60" s="5"/>
      <c r="O60" s="5"/>
    </row>
    <row r="61" spans="1:15" ht="14.25" customHeight="1">
      <c r="A61">
        <v>2</v>
      </c>
      <c r="B61" t="s">
        <v>80</v>
      </c>
      <c r="C61" s="22"/>
      <c r="D61" s="23"/>
      <c r="E61" s="5"/>
      <c r="F61" s="2"/>
      <c r="G61" s="5"/>
      <c r="H61" s="5"/>
      <c r="I61" s="5"/>
      <c r="J61" s="5"/>
      <c r="K61" s="5"/>
      <c r="L61" s="20"/>
      <c r="M61" s="20"/>
      <c r="N61" s="5"/>
      <c r="O61" s="5"/>
    </row>
    <row r="62" spans="2:15" ht="14.25" customHeight="1">
      <c r="B62" t="s">
        <v>81</v>
      </c>
      <c r="C62" s="22"/>
      <c r="D62" s="23"/>
      <c r="E62" s="5"/>
      <c r="F62" s="2"/>
      <c r="G62" s="5"/>
      <c r="H62" s="5"/>
      <c r="I62" s="5"/>
      <c r="J62" s="5"/>
      <c r="K62" s="5"/>
      <c r="L62" s="20"/>
      <c r="M62" s="20"/>
      <c r="N62" s="5"/>
      <c r="O62" s="5"/>
    </row>
    <row r="63" spans="2:15" ht="14.25" customHeight="1">
      <c r="B63" t="s">
        <v>82</v>
      </c>
      <c r="C63" s="22"/>
      <c r="D63" s="23"/>
      <c r="E63" s="5"/>
      <c r="F63" s="2"/>
      <c r="G63" s="5"/>
      <c r="H63" s="5"/>
      <c r="I63" s="5"/>
      <c r="J63" s="5"/>
      <c r="K63" s="5"/>
      <c r="L63" s="20"/>
      <c r="M63" s="20"/>
      <c r="N63" s="5"/>
      <c r="O63" s="5"/>
    </row>
    <row r="64" spans="2:15" ht="14.25" customHeight="1">
      <c r="B64" t="s">
        <v>83</v>
      </c>
      <c r="C64" s="22"/>
      <c r="D64" s="23"/>
      <c r="E64" s="5"/>
      <c r="F64" s="2"/>
      <c r="G64" s="5"/>
      <c r="H64" s="5"/>
      <c r="I64" s="5"/>
      <c r="J64" s="5"/>
      <c r="K64" s="5"/>
      <c r="L64" s="20"/>
      <c r="M64" s="20"/>
      <c r="N64" s="5"/>
      <c r="O64" s="5"/>
    </row>
    <row r="65" spans="2:15" ht="14.25" customHeight="1">
      <c r="B65" t="s">
        <v>84</v>
      </c>
      <c r="C65" s="22"/>
      <c r="D65" s="23"/>
      <c r="E65" s="5"/>
      <c r="F65" s="2"/>
      <c r="G65" s="5"/>
      <c r="H65" s="5"/>
      <c r="I65" s="5"/>
      <c r="J65" s="5"/>
      <c r="K65" s="5"/>
      <c r="L65" s="20"/>
      <c r="M65" s="20"/>
      <c r="N65" s="5"/>
      <c r="O65" s="5"/>
    </row>
    <row r="66" spans="1:15" ht="14.25" customHeight="1">
      <c r="A66">
        <v>3</v>
      </c>
      <c r="B66" t="s">
        <v>85</v>
      </c>
      <c r="C66" s="22"/>
      <c r="D66" s="23"/>
      <c r="E66" s="5"/>
      <c r="F66" s="2"/>
      <c r="G66" s="5"/>
      <c r="H66" s="5"/>
      <c r="I66" s="5"/>
      <c r="J66" s="5"/>
      <c r="K66" s="5"/>
      <c r="L66" s="20"/>
      <c r="M66" s="20"/>
      <c r="N66" s="5"/>
      <c r="O66" s="5"/>
    </row>
    <row r="67" spans="1:15" ht="14.25" customHeight="1">
      <c r="A67">
        <v>5</v>
      </c>
      <c r="B67" t="s">
        <v>86</v>
      </c>
      <c r="C67" s="22"/>
      <c r="D67" s="23"/>
      <c r="E67" s="5"/>
      <c r="G67" s="5"/>
      <c r="H67" s="5"/>
      <c r="I67" s="5"/>
      <c r="J67" s="5"/>
      <c r="K67" s="5"/>
      <c r="L67" s="20"/>
      <c r="M67" s="20"/>
      <c r="N67" s="5"/>
      <c r="O67" s="5"/>
    </row>
    <row r="68" spans="1:15" ht="14.25" customHeight="1">
      <c r="A68">
        <v>6</v>
      </c>
      <c r="B68" t="s">
        <v>87</v>
      </c>
      <c r="C68" s="22"/>
      <c r="D68" s="23"/>
      <c r="E68" s="5"/>
      <c r="F68" s="2"/>
      <c r="H68" s="5"/>
      <c r="I68" s="5"/>
      <c r="J68" s="5"/>
      <c r="K68" s="5"/>
      <c r="L68" s="20"/>
      <c r="M68" s="20"/>
      <c r="N68" s="5"/>
      <c r="O68" s="5"/>
    </row>
    <row r="69" spans="1:13" ht="14.25" customHeight="1">
      <c r="A69">
        <v>7</v>
      </c>
      <c r="B69" t="s">
        <v>88</v>
      </c>
      <c r="D69" s="23"/>
      <c r="H69"/>
      <c r="I69"/>
      <c r="L69" s="27"/>
      <c r="M69" s="27"/>
    </row>
    <row r="70" spans="1:9" ht="14.25" customHeight="1">
      <c r="A70">
        <v>8</v>
      </c>
      <c r="B70" t="s">
        <v>89</v>
      </c>
      <c r="D70" s="23"/>
      <c r="H70"/>
      <c r="I70"/>
    </row>
    <row r="71" spans="1:9" ht="14.25" customHeight="1">
      <c r="A71">
        <v>9</v>
      </c>
      <c r="B71" t="s">
        <v>90</v>
      </c>
      <c r="D71" s="23"/>
      <c r="H71"/>
      <c r="I71"/>
    </row>
    <row r="72" spans="2:9" ht="14.25" customHeight="1">
      <c r="B72" t="s">
        <v>91</v>
      </c>
      <c r="D72" s="23"/>
      <c r="H72"/>
      <c r="I72"/>
    </row>
    <row r="73" spans="1:9" ht="14.25" customHeight="1">
      <c r="A73">
        <v>10</v>
      </c>
      <c r="B73" t="s">
        <v>92</v>
      </c>
      <c r="D73" s="23"/>
      <c r="G73" s="5"/>
      <c r="H73"/>
      <c r="I73"/>
    </row>
    <row r="74" spans="1:15" ht="14.25" customHeight="1">
      <c r="A74">
        <v>12</v>
      </c>
      <c r="B74" t="s">
        <v>93</v>
      </c>
      <c r="C74" s="22"/>
      <c r="D74" s="23"/>
      <c r="E74" s="5"/>
      <c r="F74" s="2"/>
      <c r="G74" s="5"/>
      <c r="H74" s="5"/>
      <c r="I74" s="5"/>
      <c r="J74" s="5"/>
      <c r="K74" s="5"/>
      <c r="L74" s="20"/>
      <c r="M74" s="20"/>
      <c r="N74" s="5"/>
      <c r="O74" s="5"/>
    </row>
    <row r="75" spans="1:15" ht="14.25" customHeight="1">
      <c r="A75">
        <v>13</v>
      </c>
      <c r="B75" t="s">
        <v>94</v>
      </c>
      <c r="C75" s="22"/>
      <c r="D75" s="23"/>
      <c r="E75" s="5"/>
      <c r="F75" s="2"/>
      <c r="H75" s="5"/>
      <c r="I75" s="5"/>
      <c r="J75" s="5"/>
      <c r="K75" s="5"/>
      <c r="L75" s="20"/>
      <c r="M75" s="20"/>
      <c r="N75" s="5"/>
      <c r="O75" s="5"/>
    </row>
    <row r="76" spans="1:13" ht="14.25" customHeight="1">
      <c r="A76">
        <v>14</v>
      </c>
      <c r="B76" t="s">
        <v>95</v>
      </c>
      <c r="D76" s="23"/>
      <c r="H76"/>
      <c r="I76"/>
      <c r="L76" s="27"/>
      <c r="M76" s="27"/>
    </row>
    <row r="80" spans="2:9" ht="14.25" customHeight="1">
      <c r="B80" s="28" t="s">
        <v>96</v>
      </c>
      <c r="D80" s="23"/>
      <c r="H80"/>
      <c r="I80"/>
    </row>
    <row r="81" spans="2:9" ht="14.25" customHeight="1">
      <c r="B81" t="s">
        <v>97</v>
      </c>
      <c r="C81" t="s">
        <v>98</v>
      </c>
      <c r="D81" s="23"/>
      <c r="H81"/>
      <c r="I81"/>
    </row>
    <row r="82" spans="2:9" ht="14.25" customHeight="1">
      <c r="B82" s="23">
        <v>0.03</v>
      </c>
      <c r="C82" s="29">
        <f aca="true" t="shared" si="16" ref="C82:C83">NPER(B82,0,100,-200)</f>
        <v>23.449772250437757</v>
      </c>
      <c r="D82" s="23"/>
      <c r="E82" s="30"/>
      <c r="F82" s="30"/>
      <c r="H82"/>
      <c r="I82"/>
    </row>
    <row r="83" spans="2:9" ht="14.25" customHeight="1">
      <c r="B83" s="23">
        <v>0.07</v>
      </c>
      <c r="C83" s="29">
        <f t="shared" si="16"/>
        <v>10.244768351058719</v>
      </c>
      <c r="D83" s="23"/>
      <c r="H83"/>
      <c r="I83"/>
    </row>
    <row r="84" ht="12.75" customHeight="1">
      <c r="C84" t="s">
        <v>99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1:G45"/>
  <sheetViews>
    <sheetView workbookViewId="0" topLeftCell="A8">
      <selection activeCell="G20" sqref="G20"/>
    </sheetView>
  </sheetViews>
  <sheetFormatPr defaultColWidth="11.421875" defaultRowHeight="12.75"/>
  <cols>
    <col min="1" max="2" width="11.57421875" style="0" customWidth="1"/>
    <col min="3" max="3" width="38.00390625" style="0" customWidth="1"/>
    <col min="4" max="5" width="11.57421875" style="0" customWidth="1"/>
    <col min="6" max="6" width="13.7109375" style="0" customWidth="1"/>
    <col min="7" max="16384" width="11.57421875" style="0" customWidth="1"/>
  </cols>
  <sheetData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>
      <c r="B11" t="s">
        <v>100</v>
      </c>
    </row>
    <row r="12" ht="14.25"/>
    <row r="13" ht="14.25">
      <c r="B13" t="s">
        <v>101</v>
      </c>
    </row>
    <row r="14" spans="4:6" ht="16.5">
      <c r="D14" s="24" t="s">
        <v>102</v>
      </c>
      <c r="F14" t="s">
        <v>103</v>
      </c>
    </row>
    <row r="15" spans="2:6" ht="14.25" customHeight="1">
      <c r="B15" s="31" t="s">
        <v>104</v>
      </c>
      <c r="C15" s="31"/>
      <c r="F15" s="16">
        <v>0.07</v>
      </c>
    </row>
    <row r="16" spans="2:6" ht="14.25" customHeight="1">
      <c r="B16" s="32" t="s">
        <v>105</v>
      </c>
      <c r="C16" s="32"/>
      <c r="F16" t="s">
        <v>106</v>
      </c>
    </row>
    <row r="17" spans="2:6" ht="14.25" customHeight="1">
      <c r="B17" s="32" t="s">
        <v>107</v>
      </c>
      <c r="C17" s="32"/>
      <c r="E17" t="s">
        <v>108</v>
      </c>
      <c r="F17" s="16">
        <v>0.065</v>
      </c>
    </row>
    <row r="18" spans="2:6" ht="14.25">
      <c r="B18" s="33" t="s">
        <v>9</v>
      </c>
      <c r="C18" s="33" t="s">
        <v>109</v>
      </c>
      <c r="D18" t="s">
        <v>110</v>
      </c>
      <c r="E18" t="s">
        <v>111</v>
      </c>
      <c r="F18" t="s">
        <v>112</v>
      </c>
    </row>
    <row r="19" spans="2:6" ht="14.25">
      <c r="B19" s="34">
        <v>25</v>
      </c>
      <c r="C19" s="35">
        <v>0.08</v>
      </c>
      <c r="D19" s="5">
        <v>40000</v>
      </c>
      <c r="E19" s="5">
        <f aca="true" t="shared" si="0" ref="E19:E28">D19*C19</f>
        <v>3200</v>
      </c>
      <c r="F19" s="5">
        <f>D19*C19</f>
        <v>3200</v>
      </c>
    </row>
    <row r="20" spans="2:6" ht="14.25">
      <c r="B20" s="34">
        <v>30</v>
      </c>
      <c r="C20" s="35">
        <v>0.4</v>
      </c>
      <c r="D20" s="5">
        <v>62000</v>
      </c>
      <c r="E20" s="5">
        <f t="shared" si="0"/>
        <v>24800</v>
      </c>
      <c r="F20" s="2">
        <f aca="true" t="shared" si="1" ref="F20:F28">-FV($F$15,5,(D20+D19)*$F$17/2,F19)</f>
        <v>23551.86535639002</v>
      </c>
    </row>
    <row r="21" spans="2:6" ht="14.25">
      <c r="B21" s="34">
        <v>35</v>
      </c>
      <c r="C21" s="34">
        <v>1</v>
      </c>
      <c r="D21" s="5">
        <v>72000</v>
      </c>
      <c r="E21" s="5">
        <f t="shared" si="0"/>
        <v>72000</v>
      </c>
      <c r="F21" s="2">
        <f t="shared" si="1"/>
        <v>58077.177905368226</v>
      </c>
    </row>
    <row r="22" spans="2:6" ht="14.25">
      <c r="B22" s="36">
        <v>40</v>
      </c>
      <c r="C22" s="37">
        <v>1.6</v>
      </c>
      <c r="D22" s="5">
        <v>78000</v>
      </c>
      <c r="E22" s="5">
        <f t="shared" si="0"/>
        <v>124800</v>
      </c>
      <c r="F22" s="2">
        <f t="shared" si="1"/>
        <v>109491.09905909604</v>
      </c>
    </row>
    <row r="23" spans="2:6" ht="14.25">
      <c r="B23" s="34">
        <v>45</v>
      </c>
      <c r="C23" s="35">
        <v>2.6</v>
      </c>
      <c r="D23" s="5">
        <v>84000</v>
      </c>
      <c r="E23" s="5">
        <f t="shared" si="0"/>
        <v>218400</v>
      </c>
      <c r="F23" s="2">
        <f t="shared" si="1"/>
        <v>183844.57136923037</v>
      </c>
    </row>
    <row r="24" spans="2:6" ht="14.25">
      <c r="B24" s="34">
        <v>50</v>
      </c>
      <c r="C24" s="37">
        <v>4</v>
      </c>
      <c r="D24" s="5">
        <v>85000</v>
      </c>
      <c r="E24" s="5">
        <f t="shared" si="0"/>
        <v>340000</v>
      </c>
      <c r="F24" s="2">
        <f t="shared" si="1"/>
        <v>289437.4557661388</v>
      </c>
    </row>
    <row r="25" spans="2:6" ht="14.25">
      <c r="B25" s="34">
        <v>55</v>
      </c>
      <c r="C25" s="37">
        <v>5.9</v>
      </c>
      <c r="D25" s="5">
        <v>85000</v>
      </c>
      <c r="E25" s="5">
        <f t="shared" si="0"/>
        <v>501500.00000000006</v>
      </c>
      <c r="F25" s="2">
        <f t="shared" si="1"/>
        <v>437723.8375444528</v>
      </c>
    </row>
    <row r="26" spans="2:6" ht="14.25">
      <c r="B26" s="34">
        <v>60</v>
      </c>
      <c r="C26" s="35">
        <v>8.7</v>
      </c>
      <c r="D26" s="5">
        <v>85000</v>
      </c>
      <c r="E26" s="5">
        <f t="shared" si="0"/>
        <v>739499.9999999999</v>
      </c>
      <c r="F26" s="2">
        <f t="shared" si="1"/>
        <v>645703.1589468681</v>
      </c>
    </row>
    <row r="27" spans="2:6" ht="14.25">
      <c r="B27" s="34">
        <v>65</v>
      </c>
      <c r="C27" s="35">
        <v>12.1</v>
      </c>
      <c r="D27" s="5">
        <v>85000</v>
      </c>
      <c r="E27" s="5">
        <f t="shared" si="0"/>
        <v>1028500</v>
      </c>
      <c r="F27" s="2">
        <f t="shared" si="1"/>
        <v>937404.9161296374</v>
      </c>
    </row>
    <row r="28" spans="2:6" ht="14.25">
      <c r="B28" s="38">
        <v>70</v>
      </c>
      <c r="C28" s="38">
        <v>16</v>
      </c>
      <c r="D28" s="5">
        <v>85000</v>
      </c>
      <c r="E28" s="5">
        <f t="shared" si="0"/>
        <v>1360000</v>
      </c>
      <c r="F28" s="2">
        <f t="shared" si="1"/>
        <v>1346531.7205145615</v>
      </c>
    </row>
    <row r="29" ht="12.75">
      <c r="C29" t="s">
        <v>113</v>
      </c>
    </row>
    <row r="30" ht="12.75">
      <c r="D30" t="s">
        <v>114</v>
      </c>
    </row>
    <row r="32" spans="2:5" ht="14.25">
      <c r="B32" s="33" t="s">
        <v>9</v>
      </c>
      <c r="D32" t="s">
        <v>115</v>
      </c>
      <c r="E32" t="s">
        <v>116</v>
      </c>
    </row>
    <row r="33" spans="2:5" ht="14.25">
      <c r="B33" s="34">
        <v>22</v>
      </c>
      <c r="D33">
        <v>41</v>
      </c>
      <c r="E33">
        <v>32</v>
      </c>
    </row>
    <row r="34" ht="14.25">
      <c r="B34" s="34">
        <v>25</v>
      </c>
    </row>
    <row r="35" spans="2:5" ht="14.25">
      <c r="B35" s="34">
        <v>30</v>
      </c>
      <c r="D35">
        <f>D33*1.6</f>
        <v>65.60000000000001</v>
      </c>
      <c r="E35">
        <f>E33*1.6</f>
        <v>51.2</v>
      </c>
    </row>
    <row r="36" ht="14.25">
      <c r="B36" s="34">
        <v>35</v>
      </c>
    </row>
    <row r="37" spans="2:6" ht="14.25">
      <c r="B37" s="36">
        <v>40</v>
      </c>
      <c r="E37">
        <f>75-22</f>
        <v>53</v>
      </c>
      <c r="F37">
        <v>22</v>
      </c>
    </row>
    <row r="38" spans="2:6" ht="14.25">
      <c r="B38" s="34">
        <v>45</v>
      </c>
      <c r="F38">
        <f aca="true" t="shared" si="2" ref="F38:F42">F37+10.67</f>
        <v>32.67</v>
      </c>
    </row>
    <row r="39" spans="2:6" ht="14.25">
      <c r="B39" s="34">
        <v>50</v>
      </c>
      <c r="F39">
        <f t="shared" si="2"/>
        <v>43.34</v>
      </c>
    </row>
    <row r="40" spans="2:6" ht="14.25">
      <c r="B40" s="34">
        <v>55</v>
      </c>
      <c r="F40">
        <f t="shared" si="2"/>
        <v>54.010000000000005</v>
      </c>
    </row>
    <row r="41" spans="2:6" ht="14.25">
      <c r="B41" s="34">
        <v>60</v>
      </c>
      <c r="F41">
        <f t="shared" si="2"/>
        <v>64.68</v>
      </c>
    </row>
    <row r="42" spans="2:6" ht="14.25">
      <c r="B42" s="34">
        <v>65</v>
      </c>
      <c r="F42">
        <f t="shared" si="2"/>
        <v>75.35000000000001</v>
      </c>
    </row>
    <row r="43" spans="2:6" ht="14.25">
      <c r="B43" s="38">
        <v>70</v>
      </c>
      <c r="F43">
        <f aca="true" t="shared" si="3" ref="F43:F44">F42+53</f>
        <v>128.35000000000002</v>
      </c>
    </row>
    <row r="44" ht="14.25">
      <c r="F44">
        <f t="shared" si="3"/>
        <v>181.35000000000002</v>
      </c>
    </row>
    <row r="45" ht="12.75">
      <c r="G45">
        <f>40.8*2.25</f>
        <v>91.8</v>
      </c>
    </row>
    <row r="46" ht="14.25"/>
  </sheetData>
  <sheetProtection selectLockedCells="1" selectUnlockedCells="1"/>
  <mergeCells count="3">
    <mergeCell ref="B15:C15"/>
    <mergeCell ref="B16:C16"/>
    <mergeCell ref="B17:C1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10282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McBride</cp:lastModifiedBy>
  <cp:lastPrinted>2016-09-18T15:36:09Z</cp:lastPrinted>
  <dcterms:created xsi:type="dcterms:W3CDTF">2014-11-15T06:05:07Z</dcterms:created>
  <dcterms:modified xsi:type="dcterms:W3CDTF">2016-10-10T17:13:09Z</dcterms:modified>
  <cp:category/>
  <cp:version/>
  <cp:contentType/>
  <cp:contentStatus/>
  <cp:revision>61</cp:revision>
</cp:coreProperties>
</file>